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60\Pub\Public\Бюджет 2025\Рішення на 2025 рік\проект на МВК\Гавриловой\"/>
    </mc:Choice>
  </mc:AlternateContent>
  <bookViews>
    <workbookView xWindow="0" yWindow="0" windowWidth="23040" windowHeight="9096" tabRatio="831" activeTab="13"/>
  </bookViews>
  <sheets>
    <sheet name="дод.1" sheetId="2" r:id="rId1"/>
    <sheet name="дод.2" sheetId="3" r:id="rId2"/>
    <sheet name="дод.3" sheetId="4" r:id="rId3"/>
    <sheet name="дод.4" sheetId="5" r:id="rId4"/>
    <sheet name="дод.5" sheetId="6" r:id="rId5"/>
    <sheet name="дод. 6" sheetId="7" r:id="rId6"/>
    <sheet name="дод.7" sheetId="8" r:id="rId7"/>
    <sheet name="дод.8" sheetId="9" r:id="rId8"/>
    <sheet name="дод.9" sheetId="10" r:id="rId9"/>
    <sheet name="дод.10" sheetId="11" r:id="rId10"/>
    <sheet name="дод. 11" sheetId="12" r:id="rId11"/>
    <sheet name="дод.1 до поясн" sheetId="1" r:id="rId12"/>
    <sheet name="дод. 2 до поясн." sheetId="13" r:id="rId13"/>
    <sheet name="дод. 3 до поясн." sheetId="15" r:id="rId14"/>
  </sheets>
  <definedNames>
    <definedName name="_xlnm._FilterDatabase" localSheetId="5" hidden="1">'дод. 6'!$A$6:$J$6</definedName>
    <definedName name="_xlnm._FilterDatabase" localSheetId="11" hidden="1">'дод.1 до поясн'!$A$9:$X$551</definedName>
    <definedName name="wrn.Інструкція." localSheetId="11" hidden="1">{#N/A,#N/A,FALSE,"Лист4"}</definedName>
    <definedName name="wrn.Інструкція." hidden="1">{#N/A,#N/A,FALSE,"Лист4"}</definedName>
    <definedName name="Z_35F2F889_2B43_4BE7_A891_ED11C89C28FF_.wvu.FilterData" localSheetId="11" hidden="1">'дод.1 до поясн'!$A$8:$N$551</definedName>
    <definedName name="Z_35F2F889_2B43_4BE7_A891_ED11C89C28FF_.wvu.PrintArea" localSheetId="11" hidden="1">'дод.1 до поясн'!$A$6:$M$551</definedName>
    <definedName name="Z_35F2F889_2B43_4BE7_A891_ED11C89C28FF_.wvu.PrintTitles" localSheetId="11" hidden="1">'дод.1 до поясн'!$8:$9</definedName>
    <definedName name="Z_74E1C04B_3E06_448C_B0C8_3D6EFA99DB3F_.wvu.FilterData" localSheetId="11" hidden="1">'дод.1 до поясн'!$A$8:$N$551</definedName>
    <definedName name="Z_74E1C04B_3E06_448C_B0C8_3D6EFA99DB3F_.wvu.PrintArea" localSheetId="11" hidden="1">'дод.1 до поясн'!$A$6:$M$551</definedName>
    <definedName name="Z_74E1C04B_3E06_448C_B0C8_3D6EFA99DB3F_.wvu.PrintTitles" localSheetId="11" hidden="1">'дод.1 до поясн'!$8:$9</definedName>
    <definedName name="Додаток" hidden="1">{#N/A,#N/A,FALSE,"Лист4"}</definedName>
    <definedName name="_xlnm.Print_Titles" localSheetId="10">'дод. 11'!$9:$10</definedName>
    <definedName name="_xlnm.Print_Titles" localSheetId="13">'дод. 3 до поясн.'!$5:$6</definedName>
    <definedName name="_xlnm.Print_Titles" localSheetId="5">'дод. 6'!$6:$6</definedName>
    <definedName name="_xlnm.Print_Titles" localSheetId="0">дод.1!$8:$9</definedName>
    <definedName name="_xlnm.Print_Titles" localSheetId="11">'дод.1 до поясн'!$8:$9</definedName>
    <definedName name="_xlnm.Print_Titles" localSheetId="9">дод.10!$7:$8</definedName>
    <definedName name="_xlnm.Print_Titles" localSheetId="1">дод.2!$6:$6</definedName>
    <definedName name="_xlnm.Print_Titles" localSheetId="2">дод.3!$7:$10</definedName>
    <definedName name="_xlnm.Print_Titles" localSheetId="3">дод.4!$8:$10</definedName>
    <definedName name="_xlnm.Print_Titles" localSheetId="4">дод.5!$9:$9</definedName>
    <definedName name="_xlnm.Print_Titles" localSheetId="6">дод.7!$8:$9</definedName>
    <definedName name="колегию" localSheetId="11" hidden="1">{#N/A,#N/A,FALSE,"Лист4"}</definedName>
    <definedName name="колегию" hidden="1">{#N/A,#N/A,FALSE,"Лист4"}</definedName>
    <definedName name="_xlnm.Print_Area" localSheetId="10">'дод. 11'!$A$1:$F$71</definedName>
    <definedName name="_xlnm.Print_Area" localSheetId="12">'дод. 2 до поясн.'!$A$1:$D$51</definedName>
    <definedName name="_xlnm.Print_Area" localSheetId="13">'дод. 3 до поясн.'!$A$1:$I$116</definedName>
    <definedName name="_xlnm.Print_Area" localSheetId="5">'дод. 6'!$A$1:$J$14</definedName>
    <definedName name="_xlnm.Print_Area" localSheetId="0">дод.1!$A$1:$F$197</definedName>
    <definedName name="_xlnm.Print_Area" localSheetId="11">'дод.1 до поясн'!$A$1:$M$556</definedName>
    <definedName name="_xlnm.Print_Area" localSheetId="9">дод.10!$A$1:$F$91</definedName>
    <definedName name="_xlnm.Print_Area" localSheetId="1">дод.2!$A$1:$F$54</definedName>
    <definedName name="_xlnm.Print_Area" localSheetId="2">дод.3!$A$1:$V$516</definedName>
    <definedName name="_xlnm.Print_Area" localSheetId="3">дод.4!$A$2:$Q$41</definedName>
    <definedName name="_xlnm.Print_Area" localSheetId="4">дод.5!$A$1:$D$106</definedName>
    <definedName name="_xlnm.Print_Area" localSheetId="6">дод.7!$D$1:$O$286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1" i="15" l="1"/>
  <c r="I111" i="15" s="1"/>
  <c r="F111" i="15"/>
  <c r="E111" i="15"/>
  <c r="H110" i="15"/>
  <c r="H112" i="15" s="1"/>
  <c r="D110" i="15"/>
  <c r="D112" i="15" s="1"/>
  <c r="B110" i="15"/>
  <c r="B112" i="15" s="1"/>
  <c r="G109" i="15"/>
  <c r="I109" i="15" s="1"/>
  <c r="G108" i="15"/>
  <c r="I108" i="15" s="1"/>
  <c r="G107" i="15"/>
  <c r="I107" i="15" s="1"/>
  <c r="G106" i="15"/>
  <c r="I106" i="15" s="1"/>
  <c r="G105" i="15"/>
  <c r="I105" i="15" s="1"/>
  <c r="G104" i="15"/>
  <c r="I104" i="15" s="1"/>
  <c r="G103" i="15"/>
  <c r="I103" i="15" s="1"/>
  <c r="C103" i="15"/>
  <c r="I102" i="15"/>
  <c r="G102" i="15"/>
  <c r="I101" i="15"/>
  <c r="G101" i="15"/>
  <c r="I100" i="15"/>
  <c r="G100" i="15"/>
  <c r="I99" i="15"/>
  <c r="G99" i="15"/>
  <c r="G98" i="15"/>
  <c r="G97" i="15"/>
  <c r="G96" i="15"/>
  <c r="G95" i="15"/>
  <c r="G94" i="15"/>
  <c r="G93" i="15"/>
  <c r="G92" i="15"/>
  <c r="G91" i="15"/>
  <c r="G90" i="15"/>
  <c r="G89" i="15"/>
  <c r="I88" i="15"/>
  <c r="H88" i="15"/>
  <c r="G88" i="15"/>
  <c r="F88" i="15"/>
  <c r="G87" i="15"/>
  <c r="G86" i="15"/>
  <c r="G85" i="15"/>
  <c r="G84" i="15"/>
  <c r="G83" i="15"/>
  <c r="G82" i="15"/>
  <c r="G81" i="15"/>
  <c r="G80" i="15"/>
  <c r="I80" i="15" s="1"/>
  <c r="E80" i="15"/>
  <c r="C80" i="15"/>
  <c r="G79" i="15"/>
  <c r="G78" i="15"/>
  <c r="G77" i="15"/>
  <c r="G76" i="15"/>
  <c r="G75" i="15"/>
  <c r="G74" i="15"/>
  <c r="G73" i="15"/>
  <c r="G72" i="15"/>
  <c r="G71" i="15"/>
  <c r="G70" i="15"/>
  <c r="G69" i="15"/>
  <c r="G68" i="15"/>
  <c r="G67" i="15"/>
  <c r="I67" i="15" s="1"/>
  <c r="G66" i="15"/>
  <c r="G65" i="15"/>
  <c r="G64" i="15"/>
  <c r="G63" i="15"/>
  <c r="H62" i="15"/>
  <c r="F62" i="15"/>
  <c r="G62" i="15" s="1"/>
  <c r="I62" i="15" s="1"/>
  <c r="D62" i="15"/>
  <c r="G61" i="15"/>
  <c r="G60" i="15"/>
  <c r="G59" i="15"/>
  <c r="G58" i="15"/>
  <c r="E57" i="15"/>
  <c r="G57" i="15" s="1"/>
  <c r="I57" i="15" s="1"/>
  <c r="C57" i="15"/>
  <c r="G56" i="15"/>
  <c r="G55" i="15"/>
  <c r="G54" i="15"/>
  <c r="G53" i="15"/>
  <c r="G52" i="15"/>
  <c r="G51" i="15"/>
  <c r="G50" i="15"/>
  <c r="G49" i="15"/>
  <c r="G48" i="15"/>
  <c r="G47" i="15"/>
  <c r="H46" i="15"/>
  <c r="F46" i="15"/>
  <c r="E46" i="15"/>
  <c r="G46" i="15" s="1"/>
  <c r="I46" i="15" s="1"/>
  <c r="D46" i="15"/>
  <c r="C46" i="15"/>
  <c r="G45" i="15"/>
  <c r="G44" i="15"/>
  <c r="G43" i="15"/>
  <c r="I42" i="15"/>
  <c r="G42" i="15"/>
  <c r="G41" i="15"/>
  <c r="G40" i="15"/>
  <c r="G39" i="15"/>
  <c r="G38" i="15"/>
  <c r="G37" i="15"/>
  <c r="G36" i="15"/>
  <c r="G35" i="15"/>
  <c r="G34" i="15"/>
  <c r="G33" i="15"/>
  <c r="H32" i="15"/>
  <c r="F32" i="15"/>
  <c r="F110" i="15" s="1"/>
  <c r="F112" i="15" s="1"/>
  <c r="D32" i="15"/>
  <c r="C32" i="15"/>
  <c r="C110" i="15" s="1"/>
  <c r="C112" i="15" s="1"/>
  <c r="G31" i="15"/>
  <c r="G30" i="15"/>
  <c r="G29" i="15"/>
  <c r="G28" i="15"/>
  <c r="G27" i="15"/>
  <c r="G26" i="15"/>
  <c r="G25" i="15"/>
  <c r="G24" i="15"/>
  <c r="G23" i="15"/>
  <c r="G22" i="15"/>
  <c r="G21" i="15"/>
  <c r="G20" i="15"/>
  <c r="G19" i="15"/>
  <c r="G18" i="15"/>
  <c r="G17" i="15"/>
  <c r="G16" i="15"/>
  <c r="G15" i="15"/>
  <c r="G14" i="15"/>
  <c r="G13" i="15"/>
  <c r="H10" i="15"/>
  <c r="F10" i="15"/>
  <c r="D10" i="15"/>
  <c r="C10" i="15"/>
  <c r="B10" i="15"/>
  <c r="G9" i="15"/>
  <c r="I9" i="15" s="1"/>
  <c r="G8" i="15"/>
  <c r="G10" i="15" s="1"/>
  <c r="E8" i="15"/>
  <c r="E10" i="15" l="1"/>
  <c r="G32" i="15"/>
  <c r="I32" i="15" s="1"/>
  <c r="E110" i="15"/>
  <c r="E112" i="15" s="1"/>
  <c r="E115" i="15" s="1"/>
  <c r="I8" i="15"/>
  <c r="I13" i="15"/>
  <c r="D47" i="13"/>
  <c r="B44" i="13"/>
  <c r="D42" i="13"/>
  <c r="D41" i="13"/>
  <c r="C41" i="13"/>
  <c r="C45" i="13" s="1"/>
  <c r="C49" i="13" s="1"/>
  <c r="B41" i="13"/>
  <c r="B45" i="13" s="1"/>
  <c r="B49" i="13" s="1"/>
  <c r="D40" i="13"/>
  <c r="D38" i="13"/>
  <c r="D37" i="13"/>
  <c r="D36" i="13"/>
  <c r="D35" i="13"/>
  <c r="D34" i="13"/>
  <c r="D33" i="13"/>
  <c r="D32" i="13"/>
  <c r="D45" i="13" s="1"/>
  <c r="D20" i="13"/>
  <c r="C20" i="13"/>
  <c r="B20" i="13"/>
  <c r="D14" i="13"/>
  <c r="C14" i="13"/>
  <c r="C13" i="13" s="1"/>
  <c r="C8" i="13" s="1"/>
  <c r="B14" i="13"/>
  <c r="B13" i="13" s="1"/>
  <c r="B8" i="13" s="1"/>
  <c r="B28" i="13" s="1"/>
  <c r="B30" i="13" s="1"/>
  <c r="D13" i="13"/>
  <c r="D8" i="13"/>
  <c r="D28" i="13" s="1"/>
  <c r="D30" i="13" s="1"/>
  <c r="E67" i="12"/>
  <c r="C67" i="12"/>
  <c r="E66" i="12"/>
  <c r="C66" i="12" s="1"/>
  <c r="E65" i="12"/>
  <c r="C65" i="12"/>
  <c r="E64" i="12"/>
  <c r="C64" i="12" s="1"/>
  <c r="E63" i="12"/>
  <c r="C63" i="12"/>
  <c r="E62" i="12"/>
  <c r="C62" i="12" s="1"/>
  <c r="E61" i="12"/>
  <c r="C61" i="12"/>
  <c r="E60" i="12"/>
  <c r="C60" i="12" s="1"/>
  <c r="E59" i="12"/>
  <c r="C59" i="12"/>
  <c r="E58" i="12"/>
  <c r="C58" i="12" s="1"/>
  <c r="E57" i="12"/>
  <c r="C57" i="12"/>
  <c r="E56" i="12"/>
  <c r="C56" i="12" s="1"/>
  <c r="E55" i="12"/>
  <c r="C55" i="12"/>
  <c r="E54" i="12"/>
  <c r="C54" i="12" s="1"/>
  <c r="E53" i="12"/>
  <c r="C53" i="12"/>
  <c r="E52" i="12"/>
  <c r="C52" i="12" s="1"/>
  <c r="E51" i="12"/>
  <c r="C51" i="12"/>
  <c r="E50" i="12"/>
  <c r="C50" i="12" s="1"/>
  <c r="E49" i="12"/>
  <c r="C49" i="12"/>
  <c r="E48" i="12"/>
  <c r="C48" i="12" s="1"/>
  <c r="E47" i="12"/>
  <c r="C47" i="12"/>
  <c r="E46" i="12"/>
  <c r="C46" i="12" s="1"/>
  <c r="E45" i="12"/>
  <c r="C45" i="12"/>
  <c r="E44" i="12"/>
  <c r="C44" i="12" s="1"/>
  <c r="E43" i="12"/>
  <c r="C43" i="12"/>
  <c r="E42" i="12"/>
  <c r="C42" i="12" s="1"/>
  <c r="E41" i="12"/>
  <c r="C41" i="12"/>
  <c r="E40" i="12"/>
  <c r="C40" i="12" s="1"/>
  <c r="F39" i="12"/>
  <c r="F38" i="12" s="1"/>
  <c r="E39" i="12"/>
  <c r="C39" i="12" s="1"/>
  <c r="E35" i="12"/>
  <c r="C35" i="12" s="1"/>
  <c r="E34" i="12"/>
  <c r="C34" i="12"/>
  <c r="E33" i="12"/>
  <c r="C33" i="12" s="1"/>
  <c r="E32" i="12"/>
  <c r="C32" i="12"/>
  <c r="E31" i="12"/>
  <c r="C31" i="12" s="1"/>
  <c r="E30" i="12"/>
  <c r="C30" i="12"/>
  <c r="E29" i="12"/>
  <c r="C29" i="12" s="1"/>
  <c r="E28" i="12"/>
  <c r="C28" i="12"/>
  <c r="E27" i="12"/>
  <c r="C27" i="12" s="1"/>
  <c r="F26" i="12"/>
  <c r="E26" i="12"/>
  <c r="C25" i="12"/>
  <c r="C24" i="12"/>
  <c r="C23" i="12"/>
  <c r="C22" i="12"/>
  <c r="C21" i="12"/>
  <c r="C20" i="12"/>
  <c r="C19" i="12"/>
  <c r="C18" i="12" s="1"/>
  <c r="D18" i="12"/>
  <c r="C17" i="12"/>
  <c r="C16" i="12"/>
  <c r="C15" i="12"/>
  <c r="C14" i="12"/>
  <c r="D13" i="12"/>
  <c r="C13" i="12"/>
  <c r="F12" i="12"/>
  <c r="D12" i="12"/>
  <c r="D68" i="12" s="1"/>
  <c r="C87" i="11"/>
  <c r="D86" i="11"/>
  <c r="C86" i="11"/>
  <c r="C85" i="11" s="1"/>
  <c r="D85" i="11"/>
  <c r="C84" i="11"/>
  <c r="C83" i="11"/>
  <c r="C82" i="11"/>
  <c r="C81" i="11"/>
  <c r="D80" i="11"/>
  <c r="C80" i="11"/>
  <c r="C79" i="11"/>
  <c r="C78" i="11"/>
  <c r="C77" i="11"/>
  <c r="C76" i="11"/>
  <c r="C75" i="11"/>
  <c r="D74" i="11"/>
  <c r="C74" i="11" s="1"/>
  <c r="C73" i="11"/>
  <c r="C72" i="11"/>
  <c r="C70" i="11" s="1"/>
  <c r="C71" i="11"/>
  <c r="D70" i="11"/>
  <c r="C69" i="11"/>
  <c r="C67" i="11" s="1"/>
  <c r="C68" i="11"/>
  <c r="D67" i="11"/>
  <c r="C66" i="11"/>
  <c r="C65" i="11"/>
  <c r="C64" i="11"/>
  <c r="C63" i="11"/>
  <c r="D62" i="11"/>
  <c r="F60" i="11"/>
  <c r="E60" i="11" s="1"/>
  <c r="C58" i="11"/>
  <c r="C57" i="11"/>
  <c r="C56" i="11"/>
  <c r="C55" i="11"/>
  <c r="D54" i="11"/>
  <c r="E53" i="11"/>
  <c r="C52" i="11"/>
  <c r="F51" i="11"/>
  <c r="E51" i="11"/>
  <c r="D51" i="11"/>
  <c r="C51" i="11"/>
  <c r="C50" i="11"/>
  <c r="C49" i="11"/>
  <c r="F48" i="11"/>
  <c r="E48" i="11"/>
  <c r="D48" i="11"/>
  <c r="C48" i="11"/>
  <c r="C47" i="11"/>
  <c r="C46" i="11"/>
  <c r="D45" i="11"/>
  <c r="C45" i="11"/>
  <c r="F44" i="11"/>
  <c r="E44" i="11"/>
  <c r="C44" i="11"/>
  <c r="F43" i="11"/>
  <c r="E43" i="11"/>
  <c r="C43" i="11"/>
  <c r="C42" i="11"/>
  <c r="C41" i="11"/>
  <c r="C40" i="11"/>
  <c r="C39" i="11"/>
  <c r="C38" i="11"/>
  <c r="C37" i="11"/>
  <c r="C36" i="11"/>
  <c r="C35" i="11"/>
  <c r="C34" i="11"/>
  <c r="C33" i="11"/>
  <c r="F32" i="11"/>
  <c r="E32" i="11"/>
  <c r="D32" i="11"/>
  <c r="C32" i="11"/>
  <c r="C31" i="11"/>
  <c r="C30" i="11"/>
  <c r="D29" i="11"/>
  <c r="C29" i="11"/>
  <c r="C28" i="11"/>
  <c r="C27" i="11"/>
  <c r="C26" i="11"/>
  <c r="F25" i="11"/>
  <c r="E25" i="11"/>
  <c r="D25" i="11"/>
  <c r="C25" i="11" s="1"/>
  <c r="D24" i="11"/>
  <c r="C24" i="11"/>
  <c r="F23" i="11"/>
  <c r="E23" i="11" s="1"/>
  <c r="D23" i="11"/>
  <c r="C23" i="11"/>
  <c r="E22" i="11"/>
  <c r="C22" i="11" s="1"/>
  <c r="C20" i="11" s="1"/>
  <c r="E21" i="11"/>
  <c r="E20" i="11" s="1"/>
  <c r="E9" i="11" s="1"/>
  <c r="C21" i="11"/>
  <c r="F20" i="11"/>
  <c r="D20" i="11"/>
  <c r="E19" i="11"/>
  <c r="C18" i="11"/>
  <c r="C17" i="11"/>
  <c r="F16" i="11"/>
  <c r="E16" i="11"/>
  <c r="C16" i="11" s="1"/>
  <c r="D16" i="11"/>
  <c r="C15" i="11"/>
  <c r="C13" i="11" s="1"/>
  <c r="C14" i="11"/>
  <c r="F13" i="11"/>
  <c r="E13" i="11"/>
  <c r="D13" i="11"/>
  <c r="F12" i="11"/>
  <c r="E12" i="11"/>
  <c r="C12" i="11"/>
  <c r="F11" i="11"/>
  <c r="E11" i="11" s="1"/>
  <c r="C11" i="11" s="1"/>
  <c r="F10" i="11"/>
  <c r="E10" i="11" s="1"/>
  <c r="C10" i="11" s="1"/>
  <c r="D10" i="11"/>
  <c r="F9" i="11"/>
  <c r="G25" i="10"/>
  <c r="F25" i="10"/>
  <c r="E25" i="10"/>
  <c r="D25" i="10"/>
  <c r="C24" i="10"/>
  <c r="D23" i="10"/>
  <c r="C23" i="10"/>
  <c r="C22" i="10"/>
  <c r="C21" i="10"/>
  <c r="C20" i="10"/>
  <c r="C19" i="10"/>
  <c r="C18" i="10"/>
  <c r="C17" i="10"/>
  <c r="C16" i="10"/>
  <c r="C15" i="10"/>
  <c r="C14" i="10"/>
  <c r="C13" i="10"/>
  <c r="C12" i="10"/>
  <c r="C11" i="10"/>
  <c r="C10" i="10"/>
  <c r="C25" i="10" s="1"/>
  <c r="L282" i="8"/>
  <c r="O272" i="8"/>
  <c r="N272" i="8"/>
  <c r="O271" i="8"/>
  <c r="N271" i="8"/>
  <c r="L269" i="8"/>
  <c r="O251" i="8"/>
  <c r="L251" i="8"/>
  <c r="O247" i="8"/>
  <c r="L247" i="8"/>
  <c r="L246" i="8"/>
  <c r="L244" i="8" s="1"/>
  <c r="O245" i="8"/>
  <c r="L245" i="8"/>
  <c r="O244" i="8"/>
  <c r="N244" i="8"/>
  <c r="M244" i="8"/>
  <c r="O239" i="8"/>
  <c r="L239" i="8"/>
  <c r="O229" i="8"/>
  <c r="L229" i="8"/>
  <c r="O224" i="8"/>
  <c r="N224" i="8"/>
  <c r="N222" i="8" s="1"/>
  <c r="N221" i="8" s="1"/>
  <c r="L220" i="8"/>
  <c r="M211" i="8"/>
  <c r="M209" i="8"/>
  <c r="L209" i="8" s="1"/>
  <c r="L208" i="8"/>
  <c r="L207" i="8"/>
  <c r="O197" i="8"/>
  <c r="L197" i="8"/>
  <c r="L194" i="8"/>
  <c r="O185" i="8"/>
  <c r="N185" i="8"/>
  <c r="O184" i="8"/>
  <c r="N184" i="8"/>
  <c r="L171" i="8"/>
  <c r="M169" i="8"/>
  <c r="O168" i="8"/>
  <c r="L168" i="8"/>
  <c r="L167" i="8"/>
  <c r="O166" i="8"/>
  <c r="L166" i="8"/>
  <c r="L162" i="8"/>
  <c r="L161" i="8"/>
  <c r="L160" i="8"/>
  <c r="O159" i="8"/>
  <c r="N159" i="8"/>
  <c r="M159" i="8"/>
  <c r="L159" i="8"/>
  <c r="L153" i="8"/>
  <c r="O151" i="8"/>
  <c r="L151" i="8"/>
  <c r="O150" i="8"/>
  <c r="L150" i="8"/>
  <c r="O149" i="8"/>
  <c r="O147" i="8" s="1"/>
  <c r="L149" i="8"/>
  <c r="N147" i="8"/>
  <c r="O145" i="8"/>
  <c r="L145" i="8"/>
  <c r="L143" i="8" s="1"/>
  <c r="O144" i="8"/>
  <c r="L144" i="8"/>
  <c r="O143" i="8"/>
  <c r="N143" i="8"/>
  <c r="M143" i="8"/>
  <c r="L142" i="8"/>
  <c r="O134" i="8"/>
  <c r="L133" i="8"/>
  <c r="M132" i="8"/>
  <c r="L132" i="8" s="1"/>
  <c r="M131" i="8"/>
  <c r="L131" i="8"/>
  <c r="M130" i="8"/>
  <c r="L130" i="8" s="1"/>
  <c r="L129" i="8" s="1"/>
  <c r="M129" i="8"/>
  <c r="M125" i="8"/>
  <c r="L125" i="8" s="1"/>
  <c r="L124" i="8"/>
  <c r="L123" i="8" s="1"/>
  <c r="M123" i="8"/>
  <c r="L120" i="8"/>
  <c r="L118" i="8"/>
  <c r="M117" i="8"/>
  <c r="M115" i="8"/>
  <c r="L115" i="8" s="1"/>
  <c r="M113" i="8"/>
  <c r="L113" i="8"/>
  <c r="L110" i="8"/>
  <c r="M102" i="8"/>
  <c r="L102" i="8"/>
  <c r="L101" i="8"/>
  <c r="L100" i="8"/>
  <c r="M99" i="8"/>
  <c r="L99" i="8"/>
  <c r="N80" i="8"/>
  <c r="M80" i="8"/>
  <c r="L80" i="8" s="1"/>
  <c r="O75" i="8"/>
  <c r="L75" i="8"/>
  <c r="O74" i="8"/>
  <c r="L74" i="8"/>
  <c r="O73" i="8"/>
  <c r="L73" i="8"/>
  <c r="M71" i="8"/>
  <c r="L71" i="8"/>
  <c r="L70" i="8"/>
  <c r="L69" i="8" s="1"/>
  <c r="M69" i="8"/>
  <c r="M65" i="8"/>
  <c r="L63" i="8"/>
  <c r="J63" i="8"/>
  <c r="L62" i="8"/>
  <c r="L59" i="8"/>
  <c r="L58" i="8"/>
  <c r="L57" i="8"/>
  <c r="L56" i="8"/>
  <c r="M55" i="8"/>
  <c r="L55" i="8"/>
  <c r="L54" i="8"/>
  <c r="L49" i="8" s="1"/>
  <c r="M53" i="8"/>
  <c r="L53" i="8"/>
  <c r="L52" i="8"/>
  <c r="L51" i="8"/>
  <c r="O50" i="8"/>
  <c r="M50" i="8"/>
  <c r="L50" i="8"/>
  <c r="O49" i="8"/>
  <c r="N49" i="8"/>
  <c r="M49" i="8"/>
  <c r="M48" i="8"/>
  <c r="L48" i="8" s="1"/>
  <c r="L40" i="8"/>
  <c r="L39" i="8"/>
  <c r="L38" i="8"/>
  <c r="M35" i="8"/>
  <c r="L35" i="8"/>
  <c r="M34" i="8"/>
  <c r="M29" i="8"/>
  <c r="L29" i="8"/>
  <c r="M28" i="8"/>
  <c r="L28" i="8"/>
  <c r="L27" i="8"/>
  <c r="L26" i="8"/>
  <c r="M25" i="8"/>
  <c r="L25" i="8"/>
  <c r="O23" i="8"/>
  <c r="N23" i="8"/>
  <c r="L23" i="8"/>
  <c r="N21" i="8"/>
  <c r="O21" i="8" s="1"/>
  <c r="O18" i="8" s="1"/>
  <c r="L21" i="8"/>
  <c r="M20" i="8"/>
  <c r="L20" i="8"/>
  <c r="M19" i="8"/>
  <c r="L19" i="8"/>
  <c r="M18" i="8"/>
  <c r="M16" i="8"/>
  <c r="L16" i="8" s="1"/>
  <c r="M15" i="8"/>
  <c r="L15" i="8"/>
  <c r="M14" i="8"/>
  <c r="L14" i="8" s="1"/>
  <c r="M13" i="8"/>
  <c r="I10" i="7"/>
  <c r="I9" i="7"/>
  <c r="I8" i="7" s="1"/>
  <c r="I7" i="7" s="1"/>
  <c r="I11" i="7" s="1"/>
  <c r="D100" i="6"/>
  <c r="D94" i="6"/>
  <c r="D90" i="6"/>
  <c r="D87" i="6"/>
  <c r="D81" i="6"/>
  <c r="D77" i="6"/>
  <c r="D69" i="6"/>
  <c r="D68" i="6"/>
  <c r="D67" i="6"/>
  <c r="D66" i="6"/>
  <c r="D64" i="6"/>
  <c r="D62" i="6"/>
  <c r="D60" i="6"/>
  <c r="D58" i="6"/>
  <c r="D53" i="6"/>
  <c r="D51" i="6"/>
  <c r="D49" i="6"/>
  <c r="D47" i="6"/>
  <c r="D45" i="6"/>
  <c r="D43" i="6"/>
  <c r="D41" i="6"/>
  <c r="D39" i="6"/>
  <c r="D37" i="6"/>
  <c r="D35" i="6"/>
  <c r="D33" i="6"/>
  <c r="D31" i="6"/>
  <c r="D29" i="6"/>
  <c r="D27" i="6"/>
  <c r="D25" i="6"/>
  <c r="D23" i="6"/>
  <c r="D19" i="6"/>
  <c r="D17" i="6"/>
  <c r="D15" i="6"/>
  <c r="D13" i="6"/>
  <c r="P37" i="5"/>
  <c r="O37" i="5"/>
  <c r="Q37" i="5" s="1"/>
  <c r="M37" i="5"/>
  <c r="L37" i="5"/>
  <c r="O36" i="5"/>
  <c r="Q36" i="5" s="1"/>
  <c r="M36" i="5"/>
  <c r="I36" i="5"/>
  <c r="H36" i="5"/>
  <c r="P36" i="5" s="1"/>
  <c r="Q35" i="5"/>
  <c r="O35" i="5"/>
  <c r="M35" i="5"/>
  <c r="I35" i="5"/>
  <c r="H35" i="5"/>
  <c r="P35" i="5" s="1"/>
  <c r="O34" i="5"/>
  <c r="N34" i="5"/>
  <c r="M34" i="5"/>
  <c r="I34" i="5"/>
  <c r="I33" i="5" s="1"/>
  <c r="I32" i="5" s="1"/>
  <c r="I31" i="5" s="1"/>
  <c r="H34" i="5"/>
  <c r="N33" i="5"/>
  <c r="L33" i="5"/>
  <c r="K33" i="5"/>
  <c r="J33" i="5"/>
  <c r="M33" i="5" s="1"/>
  <c r="G33" i="5"/>
  <c r="F33" i="5"/>
  <c r="F32" i="5" s="1"/>
  <c r="N32" i="5"/>
  <c r="L32" i="5"/>
  <c r="K32" i="5"/>
  <c r="J32" i="5"/>
  <c r="M32" i="5" s="1"/>
  <c r="G32" i="5"/>
  <c r="L31" i="5"/>
  <c r="K31" i="5"/>
  <c r="G31" i="5"/>
  <c r="O30" i="5"/>
  <c r="N30" i="5"/>
  <c r="Q30" i="5" s="1"/>
  <c r="M30" i="5"/>
  <c r="I30" i="5"/>
  <c r="O29" i="5"/>
  <c r="N29" i="5"/>
  <c r="M29" i="5"/>
  <c r="I29" i="5"/>
  <c r="O28" i="5"/>
  <c r="L28" i="5"/>
  <c r="K28" i="5"/>
  <c r="M28" i="5" s="1"/>
  <c r="G28" i="5"/>
  <c r="F28" i="5"/>
  <c r="I28" i="5" s="1"/>
  <c r="K27" i="5"/>
  <c r="Q26" i="5"/>
  <c r="Q27" i="5" s="1"/>
  <c r="O26" i="5"/>
  <c r="O27" i="5" s="1"/>
  <c r="M26" i="5"/>
  <c r="M27" i="5" s="1"/>
  <c r="L26" i="5"/>
  <c r="L22" i="5" s="1"/>
  <c r="L21" i="5" s="1"/>
  <c r="L20" i="5" s="1"/>
  <c r="M25" i="5"/>
  <c r="G25" i="5"/>
  <c r="N174" i="8" s="1"/>
  <c r="F25" i="5"/>
  <c r="M174" i="8" s="1"/>
  <c r="L174" i="8" s="1"/>
  <c r="Q24" i="5"/>
  <c r="Q23" i="5" s="1"/>
  <c r="O24" i="5"/>
  <c r="N24" i="5"/>
  <c r="M24" i="5"/>
  <c r="I24" i="5"/>
  <c r="P23" i="5"/>
  <c r="N23" i="5"/>
  <c r="L23" i="5"/>
  <c r="K23" i="5"/>
  <c r="O23" i="5" s="1"/>
  <c r="O22" i="5" s="1"/>
  <c r="J23" i="5"/>
  <c r="M23" i="5" s="1"/>
  <c r="H23" i="5"/>
  <c r="G23" i="5"/>
  <c r="F23" i="5"/>
  <c r="K22" i="5"/>
  <c r="K21" i="5" s="1"/>
  <c r="J22" i="5"/>
  <c r="M22" i="5" s="1"/>
  <c r="G22" i="5"/>
  <c r="F22" i="5"/>
  <c r="J21" i="5"/>
  <c r="H21" i="5"/>
  <c r="G21" i="5"/>
  <c r="F21" i="5"/>
  <c r="J20" i="5"/>
  <c r="H20" i="5"/>
  <c r="G20" i="5"/>
  <c r="F20" i="5"/>
  <c r="P19" i="5"/>
  <c r="N19" i="5"/>
  <c r="M19" i="5"/>
  <c r="K19" i="5"/>
  <c r="O19" i="5" s="1"/>
  <c r="Q19" i="5" s="1"/>
  <c r="P18" i="5"/>
  <c r="O18" i="5"/>
  <c r="N18" i="5"/>
  <c r="M18" i="5"/>
  <c r="I18" i="5"/>
  <c r="P17" i="5"/>
  <c r="N17" i="5"/>
  <c r="I17" i="5"/>
  <c r="G17" i="5"/>
  <c r="O17" i="5" s="1"/>
  <c r="Q17" i="5" s="1"/>
  <c r="F17" i="5"/>
  <c r="Q16" i="5"/>
  <c r="P16" i="5"/>
  <c r="P15" i="5" s="1"/>
  <c r="O16" i="5"/>
  <c r="N16" i="5"/>
  <c r="M16" i="5"/>
  <c r="M15" i="5" s="1"/>
  <c r="I16" i="5"/>
  <c r="I15" i="5" s="1"/>
  <c r="N15" i="5"/>
  <c r="L15" i="5"/>
  <c r="K15" i="5"/>
  <c r="J15" i="5"/>
  <c r="H15" i="5"/>
  <c r="G15" i="5"/>
  <c r="F15" i="5"/>
  <c r="N14" i="5"/>
  <c r="M14" i="5"/>
  <c r="K14" i="5"/>
  <c r="H14" i="5"/>
  <c r="G14" i="5"/>
  <c r="G12" i="5" s="1"/>
  <c r="F14" i="5"/>
  <c r="I14" i="5" s="1"/>
  <c r="P13" i="5"/>
  <c r="O13" i="5"/>
  <c r="M13" i="5"/>
  <c r="K13" i="5"/>
  <c r="K38" i="5" s="1"/>
  <c r="I13" i="5"/>
  <c r="G13" i="5"/>
  <c r="G38" i="5" s="1"/>
  <c r="F13" i="5"/>
  <c r="N13" i="5" s="1"/>
  <c r="Q13" i="5" s="1"/>
  <c r="P12" i="5"/>
  <c r="M12" i="5"/>
  <c r="K12" i="5"/>
  <c r="F12" i="5"/>
  <c r="I12" i="5" s="1"/>
  <c r="U532" i="4"/>
  <c r="S532" i="4"/>
  <c r="R532" i="4"/>
  <c r="Q532" i="4"/>
  <c r="P532" i="4"/>
  <c r="O532" i="4"/>
  <c r="U531" i="4"/>
  <c r="T531" i="4"/>
  <c r="S531" i="4"/>
  <c r="R531" i="4"/>
  <c r="Q531" i="4"/>
  <c r="P531" i="4"/>
  <c r="O531" i="4"/>
  <c r="L531" i="4"/>
  <c r="K531" i="4"/>
  <c r="J531" i="4"/>
  <c r="I531" i="4"/>
  <c r="H531" i="4"/>
  <c r="G531" i="4"/>
  <c r="E546" i="4" s="1"/>
  <c r="U529" i="4"/>
  <c r="T529" i="4"/>
  <c r="S529" i="4"/>
  <c r="R529" i="4"/>
  <c r="Q529" i="4"/>
  <c r="P529" i="4"/>
  <c r="O529" i="4"/>
  <c r="N529" i="4"/>
  <c r="G544" i="4" s="1"/>
  <c r="M529" i="4"/>
  <c r="L529" i="4"/>
  <c r="K529" i="4"/>
  <c r="J529" i="4"/>
  <c r="I529" i="4"/>
  <c r="F544" i="4" s="1"/>
  <c r="H529" i="4"/>
  <c r="G529" i="4"/>
  <c r="E544" i="4" s="1"/>
  <c r="I527" i="4"/>
  <c r="U523" i="4"/>
  <c r="S523" i="4"/>
  <c r="R523" i="4"/>
  <c r="Q523" i="4"/>
  <c r="P523" i="4"/>
  <c r="O523" i="4"/>
  <c r="L514" i="4"/>
  <c r="I514" i="4"/>
  <c r="I515" i="4" s="1"/>
  <c r="H514" i="4"/>
  <c r="H515" i="4" s="1"/>
  <c r="W513" i="4"/>
  <c r="V512" i="4"/>
  <c r="E512" i="4"/>
  <c r="N511" i="4"/>
  <c r="M511" i="4"/>
  <c r="F511" i="4"/>
  <c r="E511" i="4"/>
  <c r="F510" i="4"/>
  <c r="F509" i="4"/>
  <c r="E509" i="4"/>
  <c r="F508" i="4"/>
  <c r="E508" i="4" s="1"/>
  <c r="M507" i="4"/>
  <c r="F507" i="4"/>
  <c r="E507" i="4" s="1"/>
  <c r="V506" i="4"/>
  <c r="F506" i="4"/>
  <c r="E506" i="4"/>
  <c r="M279" i="8" s="1"/>
  <c r="N505" i="4"/>
  <c r="M505" i="4"/>
  <c r="K505" i="4"/>
  <c r="U504" i="4"/>
  <c r="T504" i="4"/>
  <c r="S504" i="4"/>
  <c r="S503" i="4" s="1"/>
  <c r="R504" i="4"/>
  <c r="Q504" i="4"/>
  <c r="P504" i="4"/>
  <c r="O504" i="4"/>
  <c r="O503" i="4" s="1"/>
  <c r="L504" i="4"/>
  <c r="K504" i="4"/>
  <c r="K503" i="4" s="1"/>
  <c r="J504" i="4"/>
  <c r="I504" i="4"/>
  <c r="H504" i="4"/>
  <c r="G504" i="4"/>
  <c r="G503" i="4" s="1"/>
  <c r="U503" i="4"/>
  <c r="T503" i="4"/>
  <c r="R503" i="4"/>
  <c r="Q503" i="4"/>
  <c r="P503" i="4"/>
  <c r="L503" i="4"/>
  <c r="J503" i="4"/>
  <c r="I503" i="4"/>
  <c r="H503" i="4"/>
  <c r="F502" i="4"/>
  <c r="V501" i="4"/>
  <c r="V502" i="4" s="1"/>
  <c r="F501" i="4"/>
  <c r="E501" i="4"/>
  <c r="E502" i="4" s="1"/>
  <c r="N500" i="4"/>
  <c r="N499" i="4" s="1"/>
  <c r="M500" i="4"/>
  <c r="K500" i="4"/>
  <c r="K499" i="4" s="1"/>
  <c r="K498" i="4" s="1"/>
  <c r="G500" i="4"/>
  <c r="F500" i="4"/>
  <c r="U499" i="4"/>
  <c r="T499" i="4"/>
  <c r="T498" i="4" s="1"/>
  <c r="S499" i="4"/>
  <c r="R499" i="4"/>
  <c r="Q499" i="4"/>
  <c r="P499" i="4"/>
  <c r="P498" i="4" s="1"/>
  <c r="O499" i="4"/>
  <c r="M499" i="4"/>
  <c r="L499" i="4"/>
  <c r="J499" i="4"/>
  <c r="I499" i="4"/>
  <c r="H499" i="4"/>
  <c r="G499" i="4"/>
  <c r="U498" i="4"/>
  <c r="S498" i="4"/>
  <c r="R498" i="4"/>
  <c r="Q498" i="4"/>
  <c r="O498" i="4"/>
  <c r="N498" i="4"/>
  <c r="M498" i="4"/>
  <c r="G498" i="4"/>
  <c r="K497" i="4"/>
  <c r="F497" i="4"/>
  <c r="E497" i="4" s="1"/>
  <c r="K496" i="4"/>
  <c r="F496" i="4"/>
  <c r="E496" i="4" s="1"/>
  <c r="K495" i="4"/>
  <c r="F495" i="4"/>
  <c r="E495" i="4" s="1"/>
  <c r="V495" i="4" s="1"/>
  <c r="F494" i="4"/>
  <c r="E494" i="4"/>
  <c r="N493" i="4"/>
  <c r="N492" i="4" s="1"/>
  <c r="N491" i="4" s="1"/>
  <c r="M493" i="4"/>
  <c r="K493" i="4"/>
  <c r="U492" i="4"/>
  <c r="U491" i="4" s="1"/>
  <c r="T492" i="4"/>
  <c r="S492" i="4"/>
  <c r="R492" i="4"/>
  <c r="Q492" i="4"/>
  <c r="Q491" i="4" s="1"/>
  <c r="Q489" i="4" s="1"/>
  <c r="P492" i="4"/>
  <c r="O492" i="4"/>
  <c r="M492" i="4"/>
  <c r="M491" i="4" s="1"/>
  <c r="L492" i="4"/>
  <c r="J492" i="4"/>
  <c r="I492" i="4"/>
  <c r="H492" i="4"/>
  <c r="G492" i="4"/>
  <c r="T491" i="4"/>
  <c r="S491" i="4"/>
  <c r="S489" i="4" s="1"/>
  <c r="R491" i="4"/>
  <c r="P491" i="4"/>
  <c r="O491" i="4"/>
  <c r="O489" i="4" s="1"/>
  <c r="G491" i="4"/>
  <c r="U490" i="4"/>
  <c r="U489" i="4" s="1"/>
  <c r="N490" i="4"/>
  <c r="M490" i="4"/>
  <c r="N270" i="8" s="1"/>
  <c r="K490" i="4"/>
  <c r="F490" i="4"/>
  <c r="T489" i="4"/>
  <c r="R489" i="4"/>
  <c r="P489" i="4"/>
  <c r="N489" i="4"/>
  <c r="K489" i="4"/>
  <c r="K488" i="4"/>
  <c r="F487" i="4"/>
  <c r="U486" i="4"/>
  <c r="N486" i="4"/>
  <c r="M486" i="4"/>
  <c r="N266" i="8" s="1"/>
  <c r="O266" i="8" s="1"/>
  <c r="F486" i="4"/>
  <c r="E486" i="4" s="1"/>
  <c r="U485" i="4"/>
  <c r="N485" i="4"/>
  <c r="M485" i="4"/>
  <c r="N264" i="8" s="1"/>
  <c r="O264" i="8" s="1"/>
  <c r="F485" i="4"/>
  <c r="E485" i="4" s="1"/>
  <c r="M264" i="8" s="1"/>
  <c r="L264" i="8" s="1"/>
  <c r="U484" i="4"/>
  <c r="N484" i="4"/>
  <c r="N265" i="8" s="1"/>
  <c r="M484" i="4"/>
  <c r="F484" i="4"/>
  <c r="E484" i="4" s="1"/>
  <c r="V484" i="4" s="1"/>
  <c r="V483" i="4"/>
  <c r="M483" i="4"/>
  <c r="F483" i="4"/>
  <c r="E483" i="4" s="1"/>
  <c r="M260" i="8" s="1"/>
  <c r="N482" i="4"/>
  <c r="M482" i="4"/>
  <c r="F482" i="4"/>
  <c r="E482" i="4"/>
  <c r="V482" i="4" s="1"/>
  <c r="N481" i="4"/>
  <c r="M481" i="4"/>
  <c r="N263" i="8" s="1"/>
  <c r="O263" i="8" s="1"/>
  <c r="K481" i="4"/>
  <c r="N480" i="4"/>
  <c r="M480" i="4"/>
  <c r="F480" i="4"/>
  <c r="E480" i="4" s="1"/>
  <c r="U479" i="4"/>
  <c r="N479" i="4"/>
  <c r="M479" i="4"/>
  <c r="N261" i="8" s="1"/>
  <c r="F479" i="4"/>
  <c r="E479" i="4" s="1"/>
  <c r="M261" i="8" s="1"/>
  <c r="L261" i="8" s="1"/>
  <c r="U478" i="4"/>
  <c r="T478" i="4"/>
  <c r="U477" i="4"/>
  <c r="N477" i="4"/>
  <c r="M477" i="4"/>
  <c r="N258" i="8" s="1"/>
  <c r="F477" i="4"/>
  <c r="E477" i="4" s="1"/>
  <c r="V477" i="4" s="1"/>
  <c r="V476" i="4"/>
  <c r="F476" i="4"/>
  <c r="E476" i="4"/>
  <c r="U475" i="4"/>
  <c r="U473" i="4" s="1"/>
  <c r="U466" i="4" s="1"/>
  <c r="U465" i="4" s="1"/>
  <c r="N475" i="4"/>
  <c r="M475" i="4"/>
  <c r="N257" i="8" s="1"/>
  <c r="O257" i="8" s="1"/>
  <c r="F475" i="4"/>
  <c r="E475" i="4"/>
  <c r="U474" i="4"/>
  <c r="N474" i="4"/>
  <c r="M474" i="4"/>
  <c r="F474" i="4"/>
  <c r="E474" i="4"/>
  <c r="T473" i="4"/>
  <c r="N473" i="4"/>
  <c r="M473" i="4"/>
  <c r="D95" i="6" s="1"/>
  <c r="D96" i="6" s="1"/>
  <c r="K473" i="4"/>
  <c r="F473" i="4" s="1"/>
  <c r="E473" i="4" s="1"/>
  <c r="U472" i="4"/>
  <c r="N472" i="4"/>
  <c r="N254" i="8" s="1"/>
  <c r="O254" i="8" s="1"/>
  <c r="M472" i="4"/>
  <c r="F472" i="4"/>
  <c r="E472" i="4"/>
  <c r="M254" i="8" s="1"/>
  <c r="L254" i="8" s="1"/>
  <c r="F471" i="4"/>
  <c r="E471" i="4" s="1"/>
  <c r="U470" i="4"/>
  <c r="N470" i="4"/>
  <c r="M470" i="4"/>
  <c r="K470" i="4"/>
  <c r="F470" i="4" s="1"/>
  <c r="E470" i="4" s="1"/>
  <c r="M252" i="8" s="1"/>
  <c r="L252" i="8" s="1"/>
  <c r="G470" i="4"/>
  <c r="U469" i="4"/>
  <c r="S469" i="4"/>
  <c r="R469" i="4"/>
  <c r="Q469" i="4"/>
  <c r="P469" i="4"/>
  <c r="O469" i="4"/>
  <c r="N469" i="4"/>
  <c r="M469" i="4"/>
  <c r="N250" i="8" s="1"/>
  <c r="O250" i="8" s="1"/>
  <c r="L469" i="4"/>
  <c r="F469" i="4"/>
  <c r="E469" i="4" s="1"/>
  <c r="M250" i="8" s="1"/>
  <c r="U468" i="4"/>
  <c r="N468" i="4"/>
  <c r="M468" i="4"/>
  <c r="E468" i="4"/>
  <c r="V468" i="4" s="1"/>
  <c r="U467" i="4"/>
  <c r="N467" i="4"/>
  <c r="M467" i="4"/>
  <c r="K467" i="4"/>
  <c r="G467" i="4"/>
  <c r="F467" i="4" s="1"/>
  <c r="S466" i="4"/>
  <c r="S465" i="4" s="1"/>
  <c r="R466" i="4"/>
  <c r="Q466" i="4"/>
  <c r="P466" i="4"/>
  <c r="O466" i="4"/>
  <c r="O465" i="4" s="1"/>
  <c r="L466" i="4"/>
  <c r="J466" i="4"/>
  <c r="I466" i="4"/>
  <c r="H466" i="4"/>
  <c r="H465" i="4" s="1"/>
  <c r="G466" i="4"/>
  <c r="G465" i="4" s="1"/>
  <c r="R465" i="4"/>
  <c r="Q465" i="4"/>
  <c r="P465" i="4"/>
  <c r="L465" i="4"/>
  <c r="J465" i="4"/>
  <c r="I465" i="4"/>
  <c r="N464" i="4"/>
  <c r="M464" i="4"/>
  <c r="V464" i="4" s="1"/>
  <c r="V463" i="4"/>
  <c r="M463" i="4"/>
  <c r="F463" i="4"/>
  <c r="E463" i="4" s="1"/>
  <c r="M462" i="4"/>
  <c r="L462" i="4"/>
  <c r="K462" i="4"/>
  <c r="J462" i="4"/>
  <c r="J447" i="4" s="1"/>
  <c r="I462" i="4"/>
  <c r="H462" i="4"/>
  <c r="G462" i="4"/>
  <c r="F462" i="4"/>
  <c r="F461" i="4"/>
  <c r="E461" i="4"/>
  <c r="V461" i="4" s="1"/>
  <c r="N460" i="4"/>
  <c r="M460" i="4"/>
  <c r="V460" i="4" s="1"/>
  <c r="V459" i="4"/>
  <c r="M459" i="4"/>
  <c r="K459" i="4"/>
  <c r="E459" i="4"/>
  <c r="M458" i="4"/>
  <c r="J458" i="4"/>
  <c r="I458" i="4"/>
  <c r="I532" i="4" s="1"/>
  <c r="H458" i="4"/>
  <c r="G458" i="4"/>
  <c r="M457" i="4"/>
  <c r="F457" i="4"/>
  <c r="E457" i="4"/>
  <c r="M456" i="4"/>
  <c r="V456" i="4" s="1"/>
  <c r="F456" i="4"/>
  <c r="E456" i="4"/>
  <c r="N455" i="4"/>
  <c r="M455" i="4"/>
  <c r="N241" i="8" s="1"/>
  <c r="O241" i="8" s="1"/>
  <c r="F455" i="4"/>
  <c r="E455" i="4" s="1"/>
  <c r="M241" i="8" s="1"/>
  <c r="L241" i="8" s="1"/>
  <c r="V454" i="4"/>
  <c r="N454" i="4"/>
  <c r="F454" i="4"/>
  <c r="E454" i="4" s="1"/>
  <c r="M240" i="8" s="1"/>
  <c r="L240" i="8" s="1"/>
  <c r="V453" i="4"/>
  <c r="U453" i="4"/>
  <c r="T453" i="4"/>
  <c r="N453" i="4" s="1"/>
  <c r="M453" i="4"/>
  <c r="F453" i="4"/>
  <c r="E453" i="4"/>
  <c r="N452" i="4"/>
  <c r="M452" i="4"/>
  <c r="N238" i="8" s="1"/>
  <c r="F452" i="4"/>
  <c r="E452" i="4" s="1"/>
  <c r="N451" i="4"/>
  <c r="K451" i="4"/>
  <c r="F451" i="4" s="1"/>
  <c r="E451" i="4"/>
  <c r="V451" i="4" s="1"/>
  <c r="N450" i="4"/>
  <c r="I450" i="4"/>
  <c r="H450" i="4"/>
  <c r="F450" i="4" s="1"/>
  <c r="E450" i="4" s="1"/>
  <c r="G450" i="4"/>
  <c r="N449" i="4"/>
  <c r="N236" i="8" s="1"/>
  <c r="M449" i="4"/>
  <c r="K449" i="4"/>
  <c r="F449" i="4"/>
  <c r="E449" i="4" s="1"/>
  <c r="M236" i="8" s="1"/>
  <c r="N448" i="4"/>
  <c r="M448" i="4"/>
  <c r="K448" i="4"/>
  <c r="J448" i="4"/>
  <c r="J523" i="4" s="1"/>
  <c r="G448" i="4"/>
  <c r="G523" i="4" s="1"/>
  <c r="F448" i="4"/>
  <c r="U447" i="4"/>
  <c r="T447" i="4"/>
  <c r="T446" i="4" s="1"/>
  <c r="S447" i="4"/>
  <c r="R447" i="4"/>
  <c r="Q447" i="4"/>
  <c r="P447" i="4"/>
  <c r="P446" i="4" s="1"/>
  <c r="O447" i="4"/>
  <c r="L447" i="4"/>
  <c r="L446" i="4" s="1"/>
  <c r="K447" i="4"/>
  <c r="I447" i="4"/>
  <c r="H447" i="4"/>
  <c r="H446" i="4" s="1"/>
  <c r="G447" i="4"/>
  <c r="U446" i="4"/>
  <c r="S446" i="4"/>
  <c r="R446" i="4"/>
  <c r="Q446" i="4"/>
  <c r="O446" i="4"/>
  <c r="K446" i="4"/>
  <c r="J446" i="4"/>
  <c r="I446" i="4"/>
  <c r="G446" i="4"/>
  <c r="U445" i="4"/>
  <c r="N445" i="4"/>
  <c r="M445" i="4"/>
  <c r="F445" i="4"/>
  <c r="E445" i="4" s="1"/>
  <c r="V445" i="4" s="1"/>
  <c r="K444" i="4"/>
  <c r="F444" i="4"/>
  <c r="E444" i="4" s="1"/>
  <c r="V444" i="4" s="1"/>
  <c r="V443" i="4"/>
  <c r="F443" i="4"/>
  <c r="E443" i="4"/>
  <c r="M233" i="8" s="1"/>
  <c r="L233" i="8" s="1"/>
  <c r="F442" i="4"/>
  <c r="E442" i="4" s="1"/>
  <c r="F441" i="4"/>
  <c r="E441" i="4"/>
  <c r="V441" i="4" s="1"/>
  <c r="F440" i="4"/>
  <c r="E440" i="4" s="1"/>
  <c r="V440" i="4" s="1"/>
  <c r="V439" i="4"/>
  <c r="F439" i="4"/>
  <c r="E439" i="4"/>
  <c r="M231" i="8" s="1"/>
  <c r="L231" i="8" s="1"/>
  <c r="K438" i="4"/>
  <c r="T437" i="4"/>
  <c r="N437" i="4"/>
  <c r="L437" i="4"/>
  <c r="L532" i="4" s="1"/>
  <c r="K437" i="4"/>
  <c r="J437" i="4"/>
  <c r="I437" i="4"/>
  <c r="H437" i="4"/>
  <c r="G437" i="4"/>
  <c r="F438" i="4" s="1"/>
  <c r="N436" i="4"/>
  <c r="M436" i="4"/>
  <c r="V436" i="4" s="1"/>
  <c r="E436" i="4"/>
  <c r="N435" i="4"/>
  <c r="N431" i="4" s="1"/>
  <c r="M435" i="4"/>
  <c r="V435" i="4" s="1"/>
  <c r="F435" i="4"/>
  <c r="E435" i="4" s="1"/>
  <c r="M228" i="8" s="1"/>
  <c r="L228" i="8" s="1"/>
  <c r="V434" i="4"/>
  <c r="F434" i="4"/>
  <c r="E434" i="4"/>
  <c r="M227" i="8" s="1"/>
  <c r="L227" i="8" s="1"/>
  <c r="F433" i="4"/>
  <c r="F432" i="4"/>
  <c r="E432" i="4"/>
  <c r="T431" i="4"/>
  <c r="T523" i="4" s="1"/>
  <c r="M431" i="4"/>
  <c r="L431" i="4"/>
  <c r="L523" i="4" s="1"/>
  <c r="K431" i="4"/>
  <c r="J431" i="4"/>
  <c r="I431" i="4"/>
  <c r="I523" i="4" s="1"/>
  <c r="H431" i="4"/>
  <c r="H523" i="4" s="1"/>
  <c r="N430" i="4"/>
  <c r="N223" i="8" s="1"/>
  <c r="M430" i="4"/>
  <c r="K430" i="4"/>
  <c r="G430" i="4"/>
  <c r="U429" i="4"/>
  <c r="U428" i="4" s="1"/>
  <c r="S429" i="4"/>
  <c r="R429" i="4"/>
  <c r="Q429" i="4"/>
  <c r="Q428" i="4" s="1"/>
  <c r="P429" i="4"/>
  <c r="O429" i="4"/>
  <c r="L429" i="4"/>
  <c r="J429" i="4"/>
  <c r="I429" i="4"/>
  <c r="I428" i="4" s="1"/>
  <c r="H429" i="4"/>
  <c r="S428" i="4"/>
  <c r="R428" i="4"/>
  <c r="P428" i="4"/>
  <c r="O428" i="4"/>
  <c r="L428" i="4"/>
  <c r="J428" i="4"/>
  <c r="H428" i="4"/>
  <c r="F427" i="4"/>
  <c r="L426" i="4"/>
  <c r="K426" i="4"/>
  <c r="J426" i="4"/>
  <c r="I426" i="4"/>
  <c r="H426" i="4"/>
  <c r="G426" i="4"/>
  <c r="F425" i="4"/>
  <c r="L424" i="4"/>
  <c r="K424" i="4"/>
  <c r="J424" i="4"/>
  <c r="I424" i="4"/>
  <c r="H424" i="4"/>
  <c r="G424" i="4"/>
  <c r="T422" i="4"/>
  <c r="M422" i="4" s="1"/>
  <c r="N422" i="4"/>
  <c r="L422" i="4"/>
  <c r="K422" i="4"/>
  <c r="J422" i="4"/>
  <c r="I422" i="4"/>
  <c r="H422" i="4"/>
  <c r="G422" i="4"/>
  <c r="N421" i="4"/>
  <c r="M421" i="4"/>
  <c r="V421" i="4" s="1"/>
  <c r="F420" i="4"/>
  <c r="E420" i="4" s="1"/>
  <c r="V420" i="4" s="1"/>
  <c r="V419" i="4"/>
  <c r="M419" i="4"/>
  <c r="F419" i="4"/>
  <c r="E419" i="4" s="1"/>
  <c r="M418" i="4"/>
  <c r="K418" i="4"/>
  <c r="J418" i="4"/>
  <c r="I418" i="4"/>
  <c r="H418" i="4"/>
  <c r="G418" i="4"/>
  <c r="E418" i="4"/>
  <c r="V418" i="4" s="1"/>
  <c r="F417" i="4"/>
  <c r="E417" i="4" s="1"/>
  <c r="V417" i="4" s="1"/>
  <c r="T416" i="4"/>
  <c r="M416" i="4" s="1"/>
  <c r="N416" i="4"/>
  <c r="L416" i="4"/>
  <c r="K416" i="4"/>
  <c r="J416" i="4"/>
  <c r="I416" i="4"/>
  <c r="H416" i="4"/>
  <c r="G416" i="4"/>
  <c r="F416" i="4"/>
  <c r="V415" i="4"/>
  <c r="F415" i="4"/>
  <c r="E415" i="4"/>
  <c r="E414" i="4" s="1"/>
  <c r="M414" i="4"/>
  <c r="K414" i="4"/>
  <c r="J414" i="4"/>
  <c r="I414" i="4"/>
  <c r="H414" i="4"/>
  <c r="G414" i="4"/>
  <c r="F414" i="4"/>
  <c r="V413" i="4"/>
  <c r="F413" i="4"/>
  <c r="E413" i="4"/>
  <c r="F412" i="4"/>
  <c r="E412" i="4" s="1"/>
  <c r="V412" i="4" s="1"/>
  <c r="F411" i="4"/>
  <c r="E411" i="4"/>
  <c r="V411" i="4" s="1"/>
  <c r="F410" i="4"/>
  <c r="E410" i="4" s="1"/>
  <c r="V410" i="4" s="1"/>
  <c r="T409" i="4"/>
  <c r="M409" i="4" s="1"/>
  <c r="N409" i="4"/>
  <c r="N407" i="4" s="1"/>
  <c r="N404" i="4" s="1"/>
  <c r="F409" i="4"/>
  <c r="F408" i="4"/>
  <c r="E408" i="4"/>
  <c r="V408" i="4" s="1"/>
  <c r="T407" i="4"/>
  <c r="M407" i="4"/>
  <c r="L407" i="4"/>
  <c r="K407" i="4"/>
  <c r="K404" i="4" s="1"/>
  <c r="J407" i="4"/>
  <c r="I407" i="4"/>
  <c r="I404" i="4" s="1"/>
  <c r="H407" i="4"/>
  <c r="G407" i="4"/>
  <c r="G404" i="4" s="1"/>
  <c r="M406" i="4"/>
  <c r="F406" i="4"/>
  <c r="E406" i="4"/>
  <c r="V406" i="4" s="1"/>
  <c r="N405" i="4"/>
  <c r="M405" i="4"/>
  <c r="F405" i="4"/>
  <c r="U404" i="4"/>
  <c r="T404" i="4"/>
  <c r="T403" i="4" s="1"/>
  <c r="S404" i="4"/>
  <c r="R404" i="4"/>
  <c r="Q404" i="4"/>
  <c r="P404" i="4"/>
  <c r="O404" i="4"/>
  <c r="L404" i="4"/>
  <c r="H404" i="4"/>
  <c r="U403" i="4"/>
  <c r="S403" i="4"/>
  <c r="P403" i="4"/>
  <c r="O403" i="4"/>
  <c r="O402" i="4"/>
  <c r="M402" i="4"/>
  <c r="E402" i="4"/>
  <c r="N401" i="4"/>
  <c r="M401" i="4"/>
  <c r="V401" i="4" s="1"/>
  <c r="K401" i="4"/>
  <c r="F401" i="4"/>
  <c r="E401" i="4" s="1"/>
  <c r="M218" i="8" s="1"/>
  <c r="L218" i="8" s="1"/>
  <c r="N400" i="4"/>
  <c r="M400" i="4"/>
  <c r="N217" i="8" s="1"/>
  <c r="F400" i="4"/>
  <c r="E400" i="4"/>
  <c r="V400" i="4" s="1"/>
  <c r="M399" i="4"/>
  <c r="N398" i="4"/>
  <c r="M398" i="4"/>
  <c r="N215" i="8" s="1"/>
  <c r="O215" i="8" s="1"/>
  <c r="F398" i="4"/>
  <c r="E398" i="4" s="1"/>
  <c r="N397" i="4"/>
  <c r="N214" i="8" s="1"/>
  <c r="O214" i="8" s="1"/>
  <c r="M397" i="4"/>
  <c r="F397" i="4"/>
  <c r="E397" i="4"/>
  <c r="M214" i="8" s="1"/>
  <c r="L214" i="8" s="1"/>
  <c r="N396" i="4"/>
  <c r="M396" i="4"/>
  <c r="V396" i="4" s="1"/>
  <c r="F396" i="4"/>
  <c r="E396" i="4" s="1"/>
  <c r="M213" i="8" s="1"/>
  <c r="L213" i="8" s="1"/>
  <c r="V395" i="4"/>
  <c r="N395" i="4"/>
  <c r="M395" i="4"/>
  <c r="M394" i="4"/>
  <c r="V394" i="4" s="1"/>
  <c r="E394" i="4"/>
  <c r="M212" i="8" s="1"/>
  <c r="L212" i="8" s="1"/>
  <c r="N393" i="4"/>
  <c r="N210" i="8" s="1"/>
  <c r="M393" i="4"/>
  <c r="V393" i="4" s="1"/>
  <c r="L393" i="4"/>
  <c r="K393" i="4"/>
  <c r="K391" i="4" s="1"/>
  <c r="J393" i="4"/>
  <c r="F393" i="4"/>
  <c r="E393" i="4" s="1"/>
  <c r="N392" i="4"/>
  <c r="N205" i="8" s="1"/>
  <c r="O205" i="8" s="1"/>
  <c r="M392" i="4"/>
  <c r="K392" i="4"/>
  <c r="F392" i="4"/>
  <c r="U391" i="4"/>
  <c r="T391" i="4"/>
  <c r="S391" i="4"/>
  <c r="R391" i="4"/>
  <c r="Q391" i="4"/>
  <c r="P391" i="4"/>
  <c r="O391" i="4"/>
  <c r="N391" i="4"/>
  <c r="L391" i="4"/>
  <c r="J391" i="4"/>
  <c r="I391" i="4"/>
  <c r="H391" i="4"/>
  <c r="G391" i="4"/>
  <c r="U390" i="4"/>
  <c r="T390" i="4"/>
  <c r="S390" i="4"/>
  <c r="R390" i="4"/>
  <c r="Q390" i="4"/>
  <c r="P390" i="4"/>
  <c r="O390" i="4"/>
  <c r="N390" i="4"/>
  <c r="L390" i="4"/>
  <c r="K390" i="4"/>
  <c r="J390" i="4"/>
  <c r="I390" i="4"/>
  <c r="H390" i="4"/>
  <c r="G390" i="4"/>
  <c r="N389" i="4"/>
  <c r="M389" i="4"/>
  <c r="K389" i="4"/>
  <c r="F389" i="4"/>
  <c r="E389" i="4" s="1"/>
  <c r="E388" i="4" s="1"/>
  <c r="E387" i="4" s="1"/>
  <c r="U388" i="4"/>
  <c r="T388" i="4"/>
  <c r="S388" i="4"/>
  <c r="S387" i="4" s="1"/>
  <c r="R388" i="4"/>
  <c r="R387" i="4" s="1"/>
  <c r="Q388" i="4"/>
  <c r="P388" i="4"/>
  <c r="O388" i="4"/>
  <c r="O387" i="4" s="1"/>
  <c r="N388" i="4"/>
  <c r="N387" i="4" s="1"/>
  <c r="L388" i="4"/>
  <c r="K388" i="4"/>
  <c r="K387" i="4" s="1"/>
  <c r="J388" i="4"/>
  <c r="J387" i="4" s="1"/>
  <c r="I388" i="4"/>
  <c r="H388" i="4"/>
  <c r="G388" i="4"/>
  <c r="G387" i="4" s="1"/>
  <c r="F388" i="4"/>
  <c r="F387" i="4" s="1"/>
  <c r="U387" i="4"/>
  <c r="T387" i="4"/>
  <c r="Q387" i="4"/>
  <c r="P387" i="4"/>
  <c r="L387" i="4"/>
  <c r="I387" i="4"/>
  <c r="H387" i="4"/>
  <c r="V386" i="4"/>
  <c r="N386" i="4"/>
  <c r="M386" i="4"/>
  <c r="V385" i="4"/>
  <c r="N385" i="4"/>
  <c r="N202" i="8" s="1"/>
  <c r="M385" i="4"/>
  <c r="V384" i="4"/>
  <c r="M384" i="4"/>
  <c r="N201" i="8" s="1"/>
  <c r="L201" i="8" s="1"/>
  <c r="V383" i="4"/>
  <c r="N383" i="4"/>
  <c r="M383" i="4"/>
  <c r="N200" i="8" s="1"/>
  <c r="O200" i="8" s="1"/>
  <c r="E383" i="4"/>
  <c r="V382" i="4"/>
  <c r="N382" i="4"/>
  <c r="M382" i="4"/>
  <c r="N199" i="8" s="1"/>
  <c r="V381" i="4"/>
  <c r="N381" i="4"/>
  <c r="N360" i="4" s="1"/>
  <c r="N359" i="4" s="1"/>
  <c r="M381" i="4"/>
  <c r="N198" i="8" s="1"/>
  <c r="N380" i="4"/>
  <c r="M380" i="4"/>
  <c r="F380" i="4"/>
  <c r="E380" i="4"/>
  <c r="M196" i="8" s="1"/>
  <c r="U379" i="4"/>
  <c r="T379" i="4"/>
  <c r="N379" i="4"/>
  <c r="F379" i="4"/>
  <c r="E379" i="4" s="1"/>
  <c r="T378" i="4"/>
  <c r="M378" i="4" s="1"/>
  <c r="N378" i="4"/>
  <c r="F378" i="4"/>
  <c r="E378" i="4" s="1"/>
  <c r="M195" i="8" s="1"/>
  <c r="V377" i="4"/>
  <c r="M377" i="4"/>
  <c r="F377" i="4"/>
  <c r="E377" i="4" s="1"/>
  <c r="M205" i="8" s="1"/>
  <c r="L205" i="8" s="1"/>
  <c r="S376" i="4"/>
  <c r="R376" i="4"/>
  <c r="Q376" i="4"/>
  <c r="P376" i="4"/>
  <c r="P360" i="4" s="1"/>
  <c r="P359" i="4" s="1"/>
  <c r="O376" i="4"/>
  <c r="N376" i="4"/>
  <c r="M376" i="4"/>
  <c r="L376" i="4"/>
  <c r="L360" i="4" s="1"/>
  <c r="L359" i="4" s="1"/>
  <c r="K376" i="4"/>
  <c r="J376" i="4"/>
  <c r="I376" i="4"/>
  <c r="H376" i="4"/>
  <c r="G376" i="4"/>
  <c r="N375" i="4"/>
  <c r="M375" i="4"/>
  <c r="F375" i="4"/>
  <c r="E375" i="4"/>
  <c r="V375" i="4" s="1"/>
  <c r="N374" i="4"/>
  <c r="M374" i="4"/>
  <c r="V374" i="4" s="1"/>
  <c r="F374" i="4"/>
  <c r="E374" i="4" s="1"/>
  <c r="N373" i="4"/>
  <c r="M373" i="4"/>
  <c r="V373" i="4" s="1"/>
  <c r="F373" i="4"/>
  <c r="E373" i="4"/>
  <c r="N372" i="4"/>
  <c r="M372" i="4"/>
  <c r="F372" i="4"/>
  <c r="E372" i="4" s="1"/>
  <c r="V372" i="4" s="1"/>
  <c r="N371" i="4"/>
  <c r="M371" i="4"/>
  <c r="F371" i="4"/>
  <c r="E371" i="4"/>
  <c r="V371" i="4" s="1"/>
  <c r="N370" i="4"/>
  <c r="M370" i="4"/>
  <c r="F370" i="4"/>
  <c r="E370" i="4" s="1"/>
  <c r="N369" i="4"/>
  <c r="M369" i="4"/>
  <c r="V369" i="4" s="1"/>
  <c r="F369" i="4"/>
  <c r="E369" i="4"/>
  <c r="N368" i="4"/>
  <c r="M368" i="4"/>
  <c r="V368" i="4" s="1"/>
  <c r="F368" i="4"/>
  <c r="E368" i="4" s="1"/>
  <c r="N367" i="4"/>
  <c r="M367" i="4"/>
  <c r="F367" i="4"/>
  <c r="E367" i="4"/>
  <c r="V367" i="4" s="1"/>
  <c r="N366" i="4"/>
  <c r="M366" i="4"/>
  <c r="V366" i="4" s="1"/>
  <c r="K366" i="4"/>
  <c r="F366" i="4" s="1"/>
  <c r="E366" i="4" s="1"/>
  <c r="M193" i="8" s="1"/>
  <c r="L193" i="8" s="1"/>
  <c r="N365" i="4"/>
  <c r="M365" i="4"/>
  <c r="N192" i="8" s="1"/>
  <c r="O192" i="8" s="1"/>
  <c r="F365" i="4"/>
  <c r="E365" i="4" s="1"/>
  <c r="M192" i="8" s="1"/>
  <c r="L192" i="8" s="1"/>
  <c r="V364" i="4"/>
  <c r="F364" i="4"/>
  <c r="E364" i="4"/>
  <c r="M191" i="8" s="1"/>
  <c r="U363" i="4"/>
  <c r="U360" i="4" s="1"/>
  <c r="U359" i="4" s="1"/>
  <c r="T363" i="4"/>
  <c r="M363" i="4" s="1"/>
  <c r="N363" i="4"/>
  <c r="K363" i="4"/>
  <c r="F362" i="4"/>
  <c r="E362" i="4" s="1"/>
  <c r="N361" i="4"/>
  <c r="N189" i="8" s="1"/>
  <c r="M361" i="4"/>
  <c r="K361" i="4"/>
  <c r="F361" i="4"/>
  <c r="E361" i="4" s="1"/>
  <c r="T360" i="4"/>
  <c r="S360" i="4"/>
  <c r="R360" i="4"/>
  <c r="R359" i="4" s="1"/>
  <c r="Q360" i="4"/>
  <c r="O360" i="4"/>
  <c r="J360" i="4"/>
  <c r="J359" i="4" s="1"/>
  <c r="I360" i="4"/>
  <c r="G360" i="4"/>
  <c r="T359" i="4"/>
  <c r="S359" i="4"/>
  <c r="Q359" i="4"/>
  <c r="O359" i="4"/>
  <c r="I359" i="4"/>
  <c r="G359" i="4"/>
  <c r="K358" i="4"/>
  <c r="F358" i="4"/>
  <c r="E358" i="4" s="1"/>
  <c r="M186" i="8" s="1"/>
  <c r="N357" i="4"/>
  <c r="M357" i="4"/>
  <c r="M356" i="4" s="1"/>
  <c r="M355" i="4" s="1"/>
  <c r="K357" i="4"/>
  <c r="K356" i="4" s="1"/>
  <c r="K355" i="4" s="1"/>
  <c r="F357" i="4"/>
  <c r="U356" i="4"/>
  <c r="T356" i="4"/>
  <c r="T355" i="4" s="1"/>
  <c r="S356" i="4"/>
  <c r="R356" i="4"/>
  <c r="Q356" i="4"/>
  <c r="P356" i="4"/>
  <c r="P355" i="4" s="1"/>
  <c r="O356" i="4"/>
  <c r="N356" i="4"/>
  <c r="L356" i="4"/>
  <c r="L355" i="4" s="1"/>
  <c r="J356" i="4"/>
  <c r="I356" i="4"/>
  <c r="H356" i="4"/>
  <c r="H355" i="4" s="1"/>
  <c r="G356" i="4"/>
  <c r="U355" i="4"/>
  <c r="S355" i="4"/>
  <c r="R355" i="4"/>
  <c r="Q355" i="4"/>
  <c r="O355" i="4"/>
  <c r="N355" i="4"/>
  <c r="J355" i="4"/>
  <c r="I355" i="4"/>
  <c r="G355" i="4"/>
  <c r="T354" i="4"/>
  <c r="K354" i="4"/>
  <c r="F354" i="4"/>
  <c r="E354" i="4" s="1"/>
  <c r="M182" i="8" s="1"/>
  <c r="U353" i="4"/>
  <c r="N353" i="4"/>
  <c r="M353" i="4"/>
  <c r="N183" i="8" s="1"/>
  <c r="O183" i="8" s="1"/>
  <c r="K353" i="4"/>
  <c r="F353" i="4" s="1"/>
  <c r="E353" i="4"/>
  <c r="S352" i="4"/>
  <c r="R352" i="4"/>
  <c r="Q352" i="4"/>
  <c r="P352" i="4"/>
  <c r="O352" i="4"/>
  <c r="N351" i="4"/>
  <c r="O181" i="8" s="1"/>
  <c r="M351" i="4"/>
  <c r="F351" i="4"/>
  <c r="E351" i="4"/>
  <c r="M181" i="8" s="1"/>
  <c r="N350" i="4"/>
  <c r="M350" i="4"/>
  <c r="N180" i="8" s="1"/>
  <c r="O180" i="8" s="1"/>
  <c r="F350" i="4"/>
  <c r="E350" i="4" s="1"/>
  <c r="N349" i="4"/>
  <c r="M349" i="4"/>
  <c r="N179" i="8" s="1"/>
  <c r="O179" i="8" s="1"/>
  <c r="F349" i="4"/>
  <c r="E349" i="4"/>
  <c r="M179" i="8" s="1"/>
  <c r="L179" i="8" s="1"/>
  <c r="N348" i="4"/>
  <c r="M348" i="4"/>
  <c r="N178" i="8" s="1"/>
  <c r="O178" i="8" s="1"/>
  <c r="F348" i="4"/>
  <c r="E348" i="4" s="1"/>
  <c r="M178" i="8" s="1"/>
  <c r="L178" i="8" s="1"/>
  <c r="N347" i="4"/>
  <c r="M347" i="4"/>
  <c r="F347" i="4"/>
  <c r="E347" i="4"/>
  <c r="M177" i="8" s="1"/>
  <c r="U346" i="4"/>
  <c r="T346" i="4"/>
  <c r="N346" i="4"/>
  <c r="M346" i="4"/>
  <c r="F346" i="4"/>
  <c r="E346" i="4" s="1"/>
  <c r="N345" i="4"/>
  <c r="M345" i="4"/>
  <c r="F345" i="4"/>
  <c r="E345" i="4"/>
  <c r="M175" i="8" s="1"/>
  <c r="N344" i="4"/>
  <c r="M344" i="4"/>
  <c r="K344" i="4"/>
  <c r="F344" i="4" s="1"/>
  <c r="E344" i="4"/>
  <c r="V344" i="4" s="1"/>
  <c r="M343" i="4"/>
  <c r="V343" i="4" s="1"/>
  <c r="M342" i="4"/>
  <c r="V342" i="4" s="1"/>
  <c r="E342" i="4"/>
  <c r="N341" i="4"/>
  <c r="M341" i="4"/>
  <c r="V341" i="4" s="1"/>
  <c r="F341" i="4"/>
  <c r="E341" i="4"/>
  <c r="M340" i="4"/>
  <c r="V340" i="4" s="1"/>
  <c r="F340" i="4"/>
  <c r="E340" i="4"/>
  <c r="N339" i="4"/>
  <c r="M339" i="4"/>
  <c r="F339" i="4"/>
  <c r="E339" i="4" s="1"/>
  <c r="N338" i="4"/>
  <c r="M338" i="4"/>
  <c r="N172" i="8" s="1"/>
  <c r="O172" i="8" s="1"/>
  <c r="F338" i="4"/>
  <c r="E338" i="4"/>
  <c r="M172" i="8" s="1"/>
  <c r="L172" i="8" s="1"/>
  <c r="N337" i="4"/>
  <c r="M337" i="4"/>
  <c r="K337" i="4"/>
  <c r="J337" i="4"/>
  <c r="I337" i="4"/>
  <c r="H337" i="4"/>
  <c r="G337" i="4"/>
  <c r="F337" i="4" s="1"/>
  <c r="N336" i="4"/>
  <c r="N332" i="4" s="1"/>
  <c r="M336" i="4"/>
  <c r="N335" i="4"/>
  <c r="M335" i="4"/>
  <c r="F335" i="4"/>
  <c r="E335" i="4"/>
  <c r="V335" i="4" s="1"/>
  <c r="M334" i="4"/>
  <c r="V334" i="4" s="1"/>
  <c r="F334" i="4"/>
  <c r="E334" i="4"/>
  <c r="S333" i="4"/>
  <c r="R333" i="4"/>
  <c r="Q333" i="4"/>
  <c r="Q332" i="4" s="1"/>
  <c r="Q302" i="4" s="1"/>
  <c r="Q301" i="4" s="1"/>
  <c r="P333" i="4"/>
  <c r="O333" i="4"/>
  <c r="N333" i="4"/>
  <c r="N170" i="8" s="1"/>
  <c r="M333" i="4"/>
  <c r="L333" i="4"/>
  <c r="J333" i="4"/>
  <c r="J332" i="4" s="1"/>
  <c r="I333" i="4"/>
  <c r="H333" i="4"/>
  <c r="U332" i="4"/>
  <c r="T332" i="4"/>
  <c r="S332" i="4"/>
  <c r="R332" i="4"/>
  <c r="P332" i="4"/>
  <c r="O332" i="4"/>
  <c r="M332" i="4"/>
  <c r="L332" i="4"/>
  <c r="K332" i="4"/>
  <c r="I332" i="4"/>
  <c r="I302" i="4" s="1"/>
  <c r="G332" i="4"/>
  <c r="M331" i="4"/>
  <c r="V331" i="4" s="1"/>
  <c r="V330" i="4"/>
  <c r="N330" i="4"/>
  <c r="M330" i="4"/>
  <c r="M329" i="4"/>
  <c r="E329" i="4"/>
  <c r="N328" i="4"/>
  <c r="M328" i="4"/>
  <c r="V328" i="4" s="1"/>
  <c r="N327" i="4"/>
  <c r="M327" i="4"/>
  <c r="M531" i="4" s="1"/>
  <c r="F327" i="4"/>
  <c r="E327" i="4"/>
  <c r="E531" i="4" s="1"/>
  <c r="U326" i="4"/>
  <c r="U317" i="4" s="1"/>
  <c r="T326" i="4"/>
  <c r="M326" i="4" s="1"/>
  <c r="N326" i="4"/>
  <c r="L326" i="4"/>
  <c r="K326" i="4"/>
  <c r="J326" i="4"/>
  <c r="J317" i="4" s="1"/>
  <c r="J302" i="4" s="1"/>
  <c r="J301" i="4" s="1"/>
  <c r="I326" i="4"/>
  <c r="H326" i="4"/>
  <c r="G326" i="4"/>
  <c r="F326" i="4"/>
  <c r="F325" i="4"/>
  <c r="E325" i="4"/>
  <c r="V325" i="4" s="1"/>
  <c r="N324" i="4"/>
  <c r="M324" i="4"/>
  <c r="V324" i="4" s="1"/>
  <c r="F324" i="4"/>
  <c r="E324" i="4" s="1"/>
  <c r="N323" i="4"/>
  <c r="M323" i="4"/>
  <c r="V323" i="4" s="1"/>
  <c r="N322" i="4"/>
  <c r="M322" i="4"/>
  <c r="V322" i="4" s="1"/>
  <c r="M321" i="4"/>
  <c r="F321" i="4"/>
  <c r="E321" i="4" s="1"/>
  <c r="M164" i="8" s="1"/>
  <c r="M320" i="4"/>
  <c r="F320" i="4"/>
  <c r="E320" i="4" s="1"/>
  <c r="V320" i="4" s="1"/>
  <c r="V319" i="4"/>
  <c r="N319" i="4"/>
  <c r="M319" i="4"/>
  <c r="V318" i="4"/>
  <c r="N318" i="4"/>
  <c r="N163" i="8" s="1"/>
  <c r="M318" i="4"/>
  <c r="T317" i="4"/>
  <c r="S317" i="4"/>
  <c r="R317" i="4"/>
  <c r="R302" i="4" s="1"/>
  <c r="R301" i="4" s="1"/>
  <c r="Q317" i="4"/>
  <c r="P317" i="4"/>
  <c r="P302" i="4" s="1"/>
  <c r="P301" i="4" s="1"/>
  <c r="O317" i="4"/>
  <c r="L317" i="4"/>
  <c r="L302" i="4" s="1"/>
  <c r="L301" i="4" s="1"/>
  <c r="K317" i="4"/>
  <c r="I317" i="4"/>
  <c r="H317" i="4"/>
  <c r="G317" i="4"/>
  <c r="M316" i="4"/>
  <c r="F316" i="4"/>
  <c r="E316" i="4" s="1"/>
  <c r="M158" i="8" s="1"/>
  <c r="L158" i="8" s="1"/>
  <c r="N315" i="4"/>
  <c r="M315" i="4"/>
  <c r="F315" i="4"/>
  <c r="E315" i="4"/>
  <c r="M157" i="8" s="1"/>
  <c r="L157" i="8" s="1"/>
  <c r="N314" i="4"/>
  <c r="N305" i="4" s="1"/>
  <c r="N527" i="4" s="1"/>
  <c r="G542" i="4" s="1"/>
  <c r="M314" i="4"/>
  <c r="V314" i="4" s="1"/>
  <c r="F314" i="4"/>
  <c r="E314" i="4" s="1"/>
  <c r="M313" i="4"/>
  <c r="F313" i="4"/>
  <c r="E313" i="4" s="1"/>
  <c r="V313" i="4" s="1"/>
  <c r="N312" i="4"/>
  <c r="N154" i="8" s="1"/>
  <c r="M312" i="4"/>
  <c r="V312" i="4" s="1"/>
  <c r="K312" i="4"/>
  <c r="F312" i="4"/>
  <c r="E312" i="4" s="1"/>
  <c r="M155" i="8" s="1"/>
  <c r="V311" i="4"/>
  <c r="M311" i="4"/>
  <c r="N310" i="4"/>
  <c r="M310" i="4"/>
  <c r="V310" i="4" s="1"/>
  <c r="N309" i="4"/>
  <c r="M309" i="4"/>
  <c r="F309" i="4"/>
  <c r="E309" i="4" s="1"/>
  <c r="M148" i="8" s="1"/>
  <c r="N308" i="4"/>
  <c r="M308" i="4"/>
  <c r="V308" i="4" s="1"/>
  <c r="N307" i="4"/>
  <c r="M307" i="4"/>
  <c r="N146" i="8" s="1"/>
  <c r="F307" i="4"/>
  <c r="N306" i="4"/>
  <c r="M306" i="4"/>
  <c r="U305" i="4"/>
  <c r="U527" i="4" s="1"/>
  <c r="T305" i="4"/>
  <c r="T527" i="4" s="1"/>
  <c r="S305" i="4"/>
  <c r="S527" i="4" s="1"/>
  <c r="R305" i="4"/>
  <c r="R527" i="4" s="1"/>
  <c r="Q305" i="4"/>
  <c r="Q527" i="4" s="1"/>
  <c r="P305" i="4"/>
  <c r="P527" i="4" s="1"/>
  <c r="O305" i="4"/>
  <c r="O527" i="4" s="1"/>
  <c r="L305" i="4"/>
  <c r="L527" i="4" s="1"/>
  <c r="K305" i="4"/>
  <c r="K527" i="4" s="1"/>
  <c r="J305" i="4"/>
  <c r="J527" i="4" s="1"/>
  <c r="I305" i="4"/>
  <c r="H305" i="4"/>
  <c r="H527" i="4" s="1"/>
  <c r="G305" i="4"/>
  <c r="G527" i="4" s="1"/>
  <c r="E542" i="4" s="1"/>
  <c r="F304" i="4"/>
  <c r="E304" i="4" s="1"/>
  <c r="V304" i="4" s="1"/>
  <c r="N303" i="4"/>
  <c r="N141" i="8" s="1"/>
  <c r="M303" i="4"/>
  <c r="K303" i="4"/>
  <c r="G303" i="4"/>
  <c r="G514" i="4" s="1"/>
  <c r="G515" i="4" s="1"/>
  <c r="O302" i="4"/>
  <c r="O301" i="4" s="1"/>
  <c r="I301" i="4"/>
  <c r="K300" i="4"/>
  <c r="F300" i="4" s="1"/>
  <c r="E300" i="4" s="1"/>
  <c r="N299" i="4"/>
  <c r="N137" i="8" s="1"/>
  <c r="M299" i="4"/>
  <c r="K299" i="4"/>
  <c r="U298" i="4"/>
  <c r="U297" i="4" s="1"/>
  <c r="T298" i="4"/>
  <c r="S298" i="4"/>
  <c r="R298" i="4"/>
  <c r="R297" i="4" s="1"/>
  <c r="Q298" i="4"/>
  <c r="Q297" i="4" s="1"/>
  <c r="P298" i="4"/>
  <c r="O298" i="4"/>
  <c r="M298" i="4"/>
  <c r="M297" i="4" s="1"/>
  <c r="L298" i="4"/>
  <c r="J298" i="4"/>
  <c r="J297" i="4" s="1"/>
  <c r="I298" i="4"/>
  <c r="I297" i="4" s="1"/>
  <c r="H298" i="4"/>
  <c r="G298" i="4"/>
  <c r="T297" i="4"/>
  <c r="S297" i="4"/>
  <c r="P297" i="4"/>
  <c r="O297" i="4"/>
  <c r="L297" i="4"/>
  <c r="H297" i="4"/>
  <c r="G297" i="4"/>
  <c r="N296" i="4"/>
  <c r="M296" i="4"/>
  <c r="E296" i="4"/>
  <c r="V296" i="4" s="1"/>
  <c r="N295" i="4"/>
  <c r="N134" i="8" s="1"/>
  <c r="M295" i="4"/>
  <c r="E295" i="4"/>
  <c r="M134" i="8" s="1"/>
  <c r="V294" i="4"/>
  <c r="N294" i="4"/>
  <c r="M294" i="4"/>
  <c r="N293" i="4"/>
  <c r="M293" i="4"/>
  <c r="V293" i="4" s="1"/>
  <c r="N292" i="4"/>
  <c r="M292" i="4"/>
  <c r="V292" i="4" s="1"/>
  <c r="V291" i="4"/>
  <c r="N291" i="4"/>
  <c r="M291" i="4"/>
  <c r="U290" i="4"/>
  <c r="V289" i="4"/>
  <c r="T289" i="4"/>
  <c r="T290" i="4" s="1"/>
  <c r="M290" i="4" s="1"/>
  <c r="V290" i="4" s="1"/>
  <c r="N289" i="4"/>
  <c r="N290" i="4" s="1"/>
  <c r="M289" i="4"/>
  <c r="V288" i="4"/>
  <c r="F288" i="4"/>
  <c r="E288" i="4"/>
  <c r="F287" i="4"/>
  <c r="E287" i="4" s="1"/>
  <c r="V287" i="4" s="1"/>
  <c r="N286" i="4"/>
  <c r="M286" i="4"/>
  <c r="V286" i="4" s="1"/>
  <c r="K286" i="4"/>
  <c r="F286" i="4"/>
  <c r="E286" i="4" s="1"/>
  <c r="V285" i="4"/>
  <c r="U285" i="4"/>
  <c r="T285" i="4"/>
  <c r="S285" i="4"/>
  <c r="R285" i="4"/>
  <c r="R203" i="4" s="1"/>
  <c r="R526" i="4" s="1"/>
  <c r="Q285" i="4"/>
  <c r="P285" i="4"/>
  <c r="O285" i="4"/>
  <c r="M285" i="4" s="1"/>
  <c r="N285" i="4"/>
  <c r="N203" i="4" s="1"/>
  <c r="N526" i="4" s="1"/>
  <c r="G541" i="4" s="1"/>
  <c r="L285" i="4"/>
  <c r="K285" i="4"/>
  <c r="J285" i="4"/>
  <c r="I285" i="4"/>
  <c r="H285" i="4"/>
  <c r="G285" i="4"/>
  <c r="F285" i="4"/>
  <c r="E285" i="4" s="1"/>
  <c r="K284" i="4"/>
  <c r="F284" i="4"/>
  <c r="E284" i="4" s="1"/>
  <c r="V284" i="4" s="1"/>
  <c r="N283" i="4"/>
  <c r="N128" i="8" s="1"/>
  <c r="O128" i="8" s="1"/>
  <c r="M283" i="4"/>
  <c r="V283" i="4" s="1"/>
  <c r="F283" i="4"/>
  <c r="E283" i="4"/>
  <c r="M128" i="8" s="1"/>
  <c r="L128" i="8" s="1"/>
  <c r="U282" i="4"/>
  <c r="T282" i="4"/>
  <c r="M282" i="4"/>
  <c r="V282" i="4" s="1"/>
  <c r="V281" i="4"/>
  <c r="U281" i="4"/>
  <c r="N281" i="4"/>
  <c r="N282" i="4" s="1"/>
  <c r="M281" i="4"/>
  <c r="T280" i="4"/>
  <c r="M280" i="4"/>
  <c r="V280" i="4" s="1"/>
  <c r="U279" i="4"/>
  <c r="U280" i="4" s="1"/>
  <c r="N279" i="4"/>
  <c r="N280" i="4" s="1"/>
  <c r="M279" i="4"/>
  <c r="V279" i="4" s="1"/>
  <c r="U278" i="4"/>
  <c r="T278" i="4"/>
  <c r="M278" i="4" s="1"/>
  <c r="V278" i="4" s="1"/>
  <c r="V277" i="4"/>
  <c r="U277" i="4"/>
  <c r="N277" i="4"/>
  <c r="N278" i="4" s="1"/>
  <c r="M277" i="4"/>
  <c r="T276" i="4"/>
  <c r="M276" i="4" s="1"/>
  <c r="V276" i="4" s="1"/>
  <c r="U275" i="4"/>
  <c r="U276" i="4" s="1"/>
  <c r="N275" i="4"/>
  <c r="N276" i="4" s="1"/>
  <c r="M275" i="4"/>
  <c r="V275" i="4" s="1"/>
  <c r="K274" i="4"/>
  <c r="F274" i="4" s="1"/>
  <c r="E274" i="4" s="1"/>
  <c r="V274" i="4" s="1"/>
  <c r="G274" i="4"/>
  <c r="M273" i="4"/>
  <c r="L273" i="4"/>
  <c r="J273" i="4"/>
  <c r="I273" i="4"/>
  <c r="F273" i="4" s="1"/>
  <c r="E273" i="4" s="1"/>
  <c r="M127" i="8" s="1"/>
  <c r="L127" i="8" s="1"/>
  <c r="H273" i="4"/>
  <c r="M272" i="4"/>
  <c r="F272" i="4"/>
  <c r="E272" i="4" s="1"/>
  <c r="M126" i="8" s="1"/>
  <c r="L126" i="8" s="1"/>
  <c r="M271" i="4"/>
  <c r="K271" i="4"/>
  <c r="F271" i="4" s="1"/>
  <c r="E271" i="4"/>
  <c r="V271" i="4" s="1"/>
  <c r="M270" i="4"/>
  <c r="K270" i="4"/>
  <c r="F270" i="4"/>
  <c r="E270" i="4" s="1"/>
  <c r="M269" i="4"/>
  <c r="K269" i="4"/>
  <c r="F269" i="4" s="1"/>
  <c r="E269" i="4" s="1"/>
  <c r="V269" i="4" s="1"/>
  <c r="M268" i="4"/>
  <c r="V268" i="4" s="1"/>
  <c r="F268" i="4"/>
  <c r="E268" i="4"/>
  <c r="M267" i="4"/>
  <c r="V267" i="4" s="1"/>
  <c r="K267" i="4"/>
  <c r="F267" i="4"/>
  <c r="E267" i="4" s="1"/>
  <c r="V266" i="4"/>
  <c r="M266" i="4"/>
  <c r="F266" i="4"/>
  <c r="E266" i="4" s="1"/>
  <c r="M265" i="4"/>
  <c r="K265" i="4"/>
  <c r="F265" i="4" s="1"/>
  <c r="E265" i="4"/>
  <c r="V265" i="4" s="1"/>
  <c r="M264" i="4"/>
  <c r="K264" i="4"/>
  <c r="F264" i="4"/>
  <c r="E264" i="4" s="1"/>
  <c r="M122" i="8" s="1"/>
  <c r="L122" i="8" s="1"/>
  <c r="M263" i="4"/>
  <c r="K263" i="4"/>
  <c r="F262" i="4"/>
  <c r="E262" i="4" s="1"/>
  <c r="V262" i="4" s="1"/>
  <c r="T261" i="4"/>
  <c r="N261" i="4"/>
  <c r="M261" i="4"/>
  <c r="K261" i="4"/>
  <c r="G261" i="4"/>
  <c r="F261" i="4"/>
  <c r="E261" i="4" s="1"/>
  <c r="N260" i="4"/>
  <c r="N119" i="8" s="1"/>
  <c r="M260" i="4"/>
  <c r="K260" i="4"/>
  <c r="I260" i="4"/>
  <c r="G260" i="4"/>
  <c r="F260" i="4"/>
  <c r="E260" i="4" s="1"/>
  <c r="N259" i="4"/>
  <c r="N114" i="8" s="1"/>
  <c r="M259" i="4"/>
  <c r="K259" i="4"/>
  <c r="J259" i="4"/>
  <c r="I259" i="4"/>
  <c r="G259" i="4"/>
  <c r="U258" i="4"/>
  <c r="S258" i="4"/>
  <c r="R258" i="4"/>
  <c r="Q258" i="4"/>
  <c r="P258" i="4"/>
  <c r="O258" i="4"/>
  <c r="M258" i="4" s="1"/>
  <c r="J258" i="4"/>
  <c r="I258" i="4"/>
  <c r="H258" i="4"/>
  <c r="E257" i="4"/>
  <c r="V257" i="4" s="1"/>
  <c r="K256" i="4"/>
  <c r="F256" i="4"/>
  <c r="F257" i="4" s="1"/>
  <c r="E256" i="4"/>
  <c r="V256" i="4" s="1"/>
  <c r="K255" i="4"/>
  <c r="F255" i="4"/>
  <c r="E255" i="4"/>
  <c r="V255" i="4" s="1"/>
  <c r="F254" i="4"/>
  <c r="E254" i="4"/>
  <c r="V254" i="4" s="1"/>
  <c r="V253" i="4"/>
  <c r="K253" i="4"/>
  <c r="F253" i="4"/>
  <c r="E253" i="4"/>
  <c r="V252" i="4"/>
  <c r="F252" i="4"/>
  <c r="E252" i="4"/>
  <c r="K251" i="4"/>
  <c r="F251" i="4" s="1"/>
  <c r="E251" i="4" s="1"/>
  <c r="V251" i="4" s="1"/>
  <c r="F250" i="4"/>
  <c r="E250" i="4" s="1"/>
  <c r="V250" i="4" s="1"/>
  <c r="K249" i="4"/>
  <c r="F249" i="4"/>
  <c r="E249" i="4" s="1"/>
  <c r="V249" i="4" s="1"/>
  <c r="F248" i="4"/>
  <c r="E248" i="4"/>
  <c r="V248" i="4" s="1"/>
  <c r="K247" i="4"/>
  <c r="F247" i="4"/>
  <c r="E247" i="4"/>
  <c r="V247" i="4" s="1"/>
  <c r="F246" i="4"/>
  <c r="E246" i="4"/>
  <c r="V246" i="4" s="1"/>
  <c r="V245" i="4"/>
  <c r="K245" i="4"/>
  <c r="F245" i="4"/>
  <c r="E245" i="4"/>
  <c r="V244" i="4"/>
  <c r="F244" i="4"/>
  <c r="E244" i="4"/>
  <c r="K243" i="4"/>
  <c r="F243" i="4" s="1"/>
  <c r="E243" i="4" s="1"/>
  <c r="V243" i="4" s="1"/>
  <c r="F242" i="4"/>
  <c r="E242" i="4" s="1"/>
  <c r="V242" i="4" s="1"/>
  <c r="K241" i="4"/>
  <c r="F241" i="4"/>
  <c r="E241" i="4" s="1"/>
  <c r="V241" i="4" s="1"/>
  <c r="F240" i="4"/>
  <c r="E240" i="4"/>
  <c r="V240" i="4" s="1"/>
  <c r="F239" i="4"/>
  <c r="E239" i="4"/>
  <c r="V238" i="4"/>
  <c r="F238" i="4"/>
  <c r="E238" i="4"/>
  <c r="F237" i="4"/>
  <c r="E237" i="4" s="1"/>
  <c r="V237" i="4" s="1"/>
  <c r="F236" i="4"/>
  <c r="E236" i="4"/>
  <c r="V236" i="4" s="1"/>
  <c r="F235" i="4"/>
  <c r="E235" i="4"/>
  <c r="V235" i="4" s="1"/>
  <c r="V234" i="4"/>
  <c r="F234" i="4"/>
  <c r="E234" i="4"/>
  <c r="F233" i="4"/>
  <c r="E233" i="4" s="1"/>
  <c r="V233" i="4" s="1"/>
  <c r="F232" i="4"/>
  <c r="E232" i="4"/>
  <c r="V232" i="4" s="1"/>
  <c r="F231" i="4"/>
  <c r="E231" i="4"/>
  <c r="V231" i="4" s="1"/>
  <c r="V230" i="4"/>
  <c r="F230" i="4"/>
  <c r="E230" i="4"/>
  <c r="F229" i="4"/>
  <c r="E229" i="4" s="1"/>
  <c r="V229" i="4" s="1"/>
  <c r="F228" i="4"/>
  <c r="E228" i="4"/>
  <c r="V228" i="4" s="1"/>
  <c r="F227" i="4"/>
  <c r="E227" i="4"/>
  <c r="V227" i="4" s="1"/>
  <c r="V226" i="4"/>
  <c r="F226" i="4"/>
  <c r="E226" i="4"/>
  <c r="F225" i="4"/>
  <c r="E225" i="4" s="1"/>
  <c r="V225" i="4" s="1"/>
  <c r="F224" i="4"/>
  <c r="E224" i="4"/>
  <c r="V224" i="4" s="1"/>
  <c r="F223" i="4"/>
  <c r="E223" i="4" s="1"/>
  <c r="V223" i="4" s="1"/>
  <c r="V222" i="4"/>
  <c r="F222" i="4"/>
  <c r="E222" i="4"/>
  <c r="F221" i="4"/>
  <c r="E221" i="4" s="1"/>
  <c r="V221" i="4" s="1"/>
  <c r="F220" i="4"/>
  <c r="E220" i="4"/>
  <c r="F219" i="4"/>
  <c r="E219" i="4" s="1"/>
  <c r="V218" i="4"/>
  <c r="F218" i="4"/>
  <c r="E218" i="4"/>
  <c r="M107" i="8" s="1"/>
  <c r="L107" i="8" s="1"/>
  <c r="L217" i="4"/>
  <c r="J217" i="4"/>
  <c r="I217" i="4"/>
  <c r="H217" i="4"/>
  <c r="G217" i="4"/>
  <c r="F217" i="4" s="1"/>
  <c r="E217" i="4" s="1"/>
  <c r="V217" i="4" s="1"/>
  <c r="K216" i="4"/>
  <c r="F216" i="4" s="1"/>
  <c r="E216" i="4" s="1"/>
  <c r="V216" i="4" s="1"/>
  <c r="V215" i="4"/>
  <c r="F215" i="4"/>
  <c r="E215" i="4"/>
  <c r="K214" i="4"/>
  <c r="F214" i="4" s="1"/>
  <c r="E214" i="4" s="1"/>
  <c r="V214" i="4" s="1"/>
  <c r="F213" i="4"/>
  <c r="E213" i="4" s="1"/>
  <c r="V213" i="4" s="1"/>
  <c r="K212" i="4"/>
  <c r="F212" i="4"/>
  <c r="K211" i="4"/>
  <c r="F211" i="4"/>
  <c r="E211" i="4" s="1"/>
  <c r="V211" i="4" s="1"/>
  <c r="F210" i="4"/>
  <c r="E210" i="4"/>
  <c r="V210" i="4" s="1"/>
  <c r="F209" i="4"/>
  <c r="E209" i="4" s="1"/>
  <c r="V209" i="4" s="1"/>
  <c r="V208" i="4"/>
  <c r="F208" i="4"/>
  <c r="E208" i="4"/>
  <c r="K207" i="4"/>
  <c r="K203" i="4" s="1"/>
  <c r="K526" i="4" s="1"/>
  <c r="F207" i="4"/>
  <c r="E207" i="4"/>
  <c r="V207" i="4" s="1"/>
  <c r="T206" i="4"/>
  <c r="K206" i="4"/>
  <c r="J206" i="4"/>
  <c r="I206" i="4"/>
  <c r="H206" i="4"/>
  <c r="G206" i="4"/>
  <c r="F206" i="4"/>
  <c r="E206" i="4" s="1"/>
  <c r="J205" i="4"/>
  <c r="F205" i="4"/>
  <c r="E205" i="4" s="1"/>
  <c r="V205" i="4" s="1"/>
  <c r="U204" i="4"/>
  <c r="T204" i="4"/>
  <c r="M204" i="4" s="1"/>
  <c r="S204" i="4"/>
  <c r="R204" i="4"/>
  <c r="Q204" i="4"/>
  <c r="P204" i="4"/>
  <c r="O204" i="4"/>
  <c r="H204" i="4"/>
  <c r="G204" i="4"/>
  <c r="F204" i="4" s="1"/>
  <c r="E204" i="4" s="1"/>
  <c r="U203" i="4"/>
  <c r="T203" i="4"/>
  <c r="S203" i="4"/>
  <c r="S198" i="4" s="1"/>
  <c r="S197" i="4" s="1"/>
  <c r="Q203" i="4"/>
  <c r="P203" i="4"/>
  <c r="O203" i="4"/>
  <c r="O198" i="4" s="1"/>
  <c r="O197" i="4" s="1"/>
  <c r="M203" i="4"/>
  <c r="L203" i="4"/>
  <c r="J203" i="4"/>
  <c r="I203" i="4"/>
  <c r="H203" i="4"/>
  <c r="G203" i="4"/>
  <c r="G198" i="4" s="1"/>
  <c r="G197" i="4" s="1"/>
  <c r="F202" i="4"/>
  <c r="E202" i="4" s="1"/>
  <c r="V202" i="4" s="1"/>
  <c r="V201" i="4"/>
  <c r="E201" i="4"/>
  <c r="M200" i="4"/>
  <c r="F200" i="4"/>
  <c r="E200" i="4" s="1"/>
  <c r="V200" i="4" s="1"/>
  <c r="N199" i="4"/>
  <c r="N106" i="8" s="1"/>
  <c r="M199" i="4"/>
  <c r="K199" i="4"/>
  <c r="K198" i="4" s="1"/>
  <c r="K197" i="4" s="1"/>
  <c r="F199" i="4"/>
  <c r="E199" i="4" s="1"/>
  <c r="T198" i="4"/>
  <c r="R198" i="4"/>
  <c r="R197" i="4" s="1"/>
  <c r="P198" i="4"/>
  <c r="N198" i="4"/>
  <c r="N197" i="4" s="1"/>
  <c r="L198" i="4"/>
  <c r="J198" i="4"/>
  <c r="J197" i="4" s="1"/>
  <c r="H198" i="4"/>
  <c r="T197" i="4"/>
  <c r="P197" i="4"/>
  <c r="L197" i="4"/>
  <c r="H197" i="4"/>
  <c r="N196" i="4"/>
  <c r="N103" i="8" s="1"/>
  <c r="O103" i="8" s="1"/>
  <c r="M196" i="4"/>
  <c r="D91" i="6" s="1"/>
  <c r="F196" i="4"/>
  <c r="E196" i="4"/>
  <c r="V196" i="4" s="1"/>
  <c r="M195" i="4"/>
  <c r="V195" i="4" s="1"/>
  <c r="K195" i="4"/>
  <c r="F195" i="4"/>
  <c r="E195" i="4" s="1"/>
  <c r="M103" i="8" s="1"/>
  <c r="L103" i="8" s="1"/>
  <c r="M194" i="4"/>
  <c r="F194" i="4"/>
  <c r="E194" i="4" s="1"/>
  <c r="V194" i="4" s="1"/>
  <c r="N193" i="4"/>
  <c r="M193" i="4"/>
  <c r="V193" i="4" s="1"/>
  <c r="V192" i="4"/>
  <c r="N192" i="4"/>
  <c r="M192" i="4"/>
  <c r="V191" i="4"/>
  <c r="N191" i="4"/>
  <c r="M191" i="4"/>
  <c r="N190" i="4"/>
  <c r="M190" i="4"/>
  <c r="V190" i="4" s="1"/>
  <c r="N189" i="4"/>
  <c r="M189" i="4"/>
  <c r="V189" i="4" s="1"/>
  <c r="V188" i="4"/>
  <c r="N188" i="4"/>
  <c r="M188" i="4"/>
  <c r="V187" i="4"/>
  <c r="F187" i="4"/>
  <c r="E187" i="4"/>
  <c r="F186" i="4"/>
  <c r="E186" i="4" s="1"/>
  <c r="V186" i="4" s="1"/>
  <c r="F185" i="4"/>
  <c r="E185" i="4"/>
  <c r="V185" i="4" s="1"/>
  <c r="F184" i="4"/>
  <c r="E184" i="4" s="1"/>
  <c r="V184" i="4" s="1"/>
  <c r="V183" i="4"/>
  <c r="F183" i="4"/>
  <c r="E183" i="4"/>
  <c r="F182" i="4"/>
  <c r="E182" i="4" s="1"/>
  <c r="V182" i="4" s="1"/>
  <c r="K181" i="4"/>
  <c r="I181" i="4"/>
  <c r="F180" i="4"/>
  <c r="E180" i="4" s="1"/>
  <c r="V180" i="4" s="1"/>
  <c r="M179" i="4"/>
  <c r="F179" i="4"/>
  <c r="U178" i="4"/>
  <c r="T178" i="4"/>
  <c r="S178" i="4"/>
  <c r="R178" i="4"/>
  <c r="R146" i="4" s="1"/>
  <c r="R525" i="4" s="1"/>
  <c r="Q178" i="4"/>
  <c r="P178" i="4"/>
  <c r="P146" i="4" s="1"/>
  <c r="O178" i="4"/>
  <c r="N178" i="4"/>
  <c r="L178" i="4"/>
  <c r="K178" i="4"/>
  <c r="J178" i="4"/>
  <c r="H178" i="4"/>
  <c r="G178" i="4"/>
  <c r="M177" i="4"/>
  <c r="F177" i="4"/>
  <c r="E177" i="4" s="1"/>
  <c r="V177" i="4" s="1"/>
  <c r="V176" i="4"/>
  <c r="M176" i="4"/>
  <c r="F176" i="4"/>
  <c r="E176" i="4" s="1"/>
  <c r="V175" i="4"/>
  <c r="F175" i="4"/>
  <c r="E175" i="4"/>
  <c r="F174" i="4"/>
  <c r="E174" i="4" s="1"/>
  <c r="V174" i="4" s="1"/>
  <c r="M173" i="4"/>
  <c r="F173" i="4"/>
  <c r="M172" i="4"/>
  <c r="F172" i="4"/>
  <c r="E172" i="4" s="1"/>
  <c r="M171" i="4"/>
  <c r="F171" i="4"/>
  <c r="M170" i="4"/>
  <c r="F170" i="4"/>
  <c r="E170" i="4" s="1"/>
  <c r="V170" i="4" s="1"/>
  <c r="N169" i="4"/>
  <c r="N97" i="8" s="1"/>
  <c r="M169" i="4"/>
  <c r="V169" i="4" s="1"/>
  <c r="F169" i="4"/>
  <c r="E169" i="4"/>
  <c r="M96" i="8" s="1"/>
  <c r="F168" i="4"/>
  <c r="E168" i="4" s="1"/>
  <c r="V168" i="4" s="1"/>
  <c r="F167" i="4"/>
  <c r="E167" i="4"/>
  <c r="V167" i="4" s="1"/>
  <c r="N166" i="4"/>
  <c r="N94" i="8" s="1"/>
  <c r="O94" i="8" s="1"/>
  <c r="M166" i="4"/>
  <c r="V166" i="4" s="1"/>
  <c r="F166" i="4"/>
  <c r="E166" i="4" s="1"/>
  <c r="F165" i="4"/>
  <c r="E165" i="4"/>
  <c r="V165" i="4" s="1"/>
  <c r="F164" i="4"/>
  <c r="E164" i="4" s="1"/>
  <c r="V164" i="4" s="1"/>
  <c r="N163" i="4"/>
  <c r="N93" i="8" s="1"/>
  <c r="M163" i="4"/>
  <c r="F163" i="4"/>
  <c r="E163" i="4"/>
  <c r="M92" i="8" s="1"/>
  <c r="F162" i="4"/>
  <c r="E162" i="4" s="1"/>
  <c r="V162" i="4" s="1"/>
  <c r="V161" i="4"/>
  <c r="F161" i="4"/>
  <c r="E161" i="4"/>
  <c r="F160" i="4"/>
  <c r="E160" i="4" s="1"/>
  <c r="V160" i="4" s="1"/>
  <c r="N159" i="4"/>
  <c r="N90" i="8" s="1"/>
  <c r="M159" i="4"/>
  <c r="V159" i="4" s="1"/>
  <c r="F159" i="4"/>
  <c r="E159" i="4"/>
  <c r="M89" i="8" s="1"/>
  <c r="F158" i="4"/>
  <c r="E158" i="4" s="1"/>
  <c r="V158" i="4" s="1"/>
  <c r="F157" i="4"/>
  <c r="E157" i="4"/>
  <c r="V157" i="4" s="1"/>
  <c r="F156" i="4"/>
  <c r="E156" i="4" s="1"/>
  <c r="V156" i="4" s="1"/>
  <c r="V155" i="4"/>
  <c r="F155" i="4"/>
  <c r="E155" i="4"/>
  <c r="F154" i="4"/>
  <c r="E154" i="4" s="1"/>
  <c r="V154" i="4" s="1"/>
  <c r="M153" i="4"/>
  <c r="F153" i="4"/>
  <c r="E153" i="4" s="1"/>
  <c r="V153" i="4" s="1"/>
  <c r="F152" i="4"/>
  <c r="E152" i="4"/>
  <c r="V152" i="4" s="1"/>
  <c r="N151" i="4"/>
  <c r="N87" i="8" s="1"/>
  <c r="M151" i="4"/>
  <c r="V151" i="4" s="1"/>
  <c r="F151" i="4"/>
  <c r="E151" i="4" s="1"/>
  <c r="M86" i="8" s="1"/>
  <c r="L150" i="4"/>
  <c r="K150" i="4"/>
  <c r="J150" i="4"/>
  <c r="I150" i="4"/>
  <c r="H150" i="4"/>
  <c r="G150" i="4"/>
  <c r="F150" i="4"/>
  <c r="E150" i="4"/>
  <c r="V150" i="4" s="1"/>
  <c r="L149" i="4"/>
  <c r="K149" i="4"/>
  <c r="J149" i="4"/>
  <c r="I149" i="4"/>
  <c r="H149" i="4"/>
  <c r="F149" i="4" s="1"/>
  <c r="E149" i="4" s="1"/>
  <c r="V149" i="4" s="1"/>
  <c r="G149" i="4"/>
  <c r="L148" i="4"/>
  <c r="K148" i="4"/>
  <c r="J148" i="4"/>
  <c r="I148" i="4"/>
  <c r="H148" i="4"/>
  <c r="G148" i="4"/>
  <c r="K147" i="4"/>
  <c r="J147" i="4"/>
  <c r="I147" i="4"/>
  <c r="H147" i="4"/>
  <c r="G147" i="4"/>
  <c r="F147" i="4" s="1"/>
  <c r="E147" i="4" s="1"/>
  <c r="V147" i="4" s="1"/>
  <c r="U146" i="4"/>
  <c r="U525" i="4" s="1"/>
  <c r="S146" i="4"/>
  <c r="Q146" i="4"/>
  <c r="Q525" i="4" s="1"/>
  <c r="O146" i="4"/>
  <c r="L146" i="4"/>
  <c r="L525" i="4" s="1"/>
  <c r="K146" i="4"/>
  <c r="J146" i="4"/>
  <c r="J525" i="4" s="1"/>
  <c r="H146" i="4"/>
  <c r="H525" i="4" s="1"/>
  <c r="G146" i="4"/>
  <c r="M145" i="4"/>
  <c r="K145" i="4"/>
  <c r="F145" i="4"/>
  <c r="E145" i="4" s="1"/>
  <c r="R144" i="4"/>
  <c r="R143" i="4" s="1"/>
  <c r="L144" i="4"/>
  <c r="J144" i="4"/>
  <c r="J143" i="4" s="1"/>
  <c r="H144" i="4"/>
  <c r="L143" i="4"/>
  <c r="H143" i="4"/>
  <c r="N142" i="4"/>
  <c r="M142" i="4"/>
  <c r="F142" i="4"/>
  <c r="E142" i="4"/>
  <c r="M82" i="8" s="1"/>
  <c r="L82" i="8" s="1"/>
  <c r="N141" i="4"/>
  <c r="M141" i="4"/>
  <c r="V141" i="4" s="1"/>
  <c r="F141" i="4"/>
  <c r="E141" i="4" s="1"/>
  <c r="M81" i="8" s="1"/>
  <c r="L81" i="8" s="1"/>
  <c r="V140" i="4"/>
  <c r="U140" i="4"/>
  <c r="V139" i="4"/>
  <c r="N139" i="4"/>
  <c r="M139" i="4"/>
  <c r="N138" i="4"/>
  <c r="N28" i="4" s="1"/>
  <c r="M138" i="4"/>
  <c r="V138" i="4" s="1"/>
  <c r="N137" i="4"/>
  <c r="N79" i="8" s="1"/>
  <c r="M137" i="4"/>
  <c r="V137" i="4" s="1"/>
  <c r="N136" i="4"/>
  <c r="F136" i="4"/>
  <c r="E136" i="4"/>
  <c r="N135" i="4"/>
  <c r="M135" i="4"/>
  <c r="K135" i="4"/>
  <c r="J135" i="4"/>
  <c r="I135" i="4"/>
  <c r="H135" i="4"/>
  <c r="G135" i="4"/>
  <c r="N134" i="4"/>
  <c r="M134" i="4"/>
  <c r="F134" i="4"/>
  <c r="F135" i="4" s="1"/>
  <c r="V133" i="4"/>
  <c r="N133" i="4"/>
  <c r="M133" i="4"/>
  <c r="N132" i="4"/>
  <c r="M132" i="4"/>
  <c r="V132" i="4" s="1"/>
  <c r="N131" i="4"/>
  <c r="M131" i="4"/>
  <c r="V131" i="4" s="1"/>
  <c r="N130" i="4"/>
  <c r="M130" i="4"/>
  <c r="V130" i="4" s="1"/>
  <c r="T129" i="4"/>
  <c r="M129" i="4" s="1"/>
  <c r="V129" i="4" s="1"/>
  <c r="N129" i="4"/>
  <c r="V128" i="4"/>
  <c r="N128" i="4"/>
  <c r="M128" i="4"/>
  <c r="N127" i="4"/>
  <c r="M127" i="4"/>
  <c r="V127" i="4" s="1"/>
  <c r="V126" i="4"/>
  <c r="M126" i="4"/>
  <c r="V125" i="4"/>
  <c r="M125" i="4"/>
  <c r="N124" i="4"/>
  <c r="N77" i="8" s="1"/>
  <c r="M124" i="4"/>
  <c r="V124" i="4" s="1"/>
  <c r="E124" i="4"/>
  <c r="M123" i="4"/>
  <c r="N76" i="8" s="1"/>
  <c r="E123" i="4"/>
  <c r="N122" i="4"/>
  <c r="M122" i="4"/>
  <c r="V122" i="4" s="1"/>
  <c r="T121" i="4"/>
  <c r="N121" i="4"/>
  <c r="M121" i="4"/>
  <c r="L121" i="4"/>
  <c r="M120" i="4"/>
  <c r="K119" i="4"/>
  <c r="M118" i="4"/>
  <c r="K118" i="4"/>
  <c r="F118" i="4"/>
  <c r="E118" i="4" s="1"/>
  <c r="M117" i="4"/>
  <c r="L117" i="4"/>
  <c r="J117" i="4"/>
  <c r="I117" i="4"/>
  <c r="H117" i="4"/>
  <c r="G117" i="4"/>
  <c r="K115" i="4"/>
  <c r="K113" i="4" s="1"/>
  <c r="G115" i="4"/>
  <c r="F115" i="4"/>
  <c r="N114" i="4"/>
  <c r="N68" i="8" s="1"/>
  <c r="M114" i="4"/>
  <c r="V114" i="4" s="1"/>
  <c r="F114" i="4"/>
  <c r="E114" i="4"/>
  <c r="M67" i="8" s="1"/>
  <c r="U113" i="4"/>
  <c r="T113" i="4"/>
  <c r="N113" i="4"/>
  <c r="M113" i="4"/>
  <c r="L113" i="4"/>
  <c r="L105" i="4" s="1"/>
  <c r="L530" i="4" s="1"/>
  <c r="J113" i="4"/>
  <c r="J105" i="4" s="1"/>
  <c r="J530" i="4" s="1"/>
  <c r="I113" i="4"/>
  <c r="H113" i="4"/>
  <c r="H105" i="4" s="1"/>
  <c r="H530" i="4" s="1"/>
  <c r="G113" i="4"/>
  <c r="M112" i="4"/>
  <c r="F112" i="4"/>
  <c r="E112" i="4" s="1"/>
  <c r="V112" i="4" s="1"/>
  <c r="V111" i="4"/>
  <c r="M111" i="4"/>
  <c r="N110" i="4"/>
  <c r="N64" i="8" s="1"/>
  <c r="M110" i="4"/>
  <c r="K110" i="4"/>
  <c r="G110" i="4"/>
  <c r="F110" i="4" s="1"/>
  <c r="F109" i="4" s="1"/>
  <c r="E110" i="4"/>
  <c r="E109" i="4" s="1"/>
  <c r="U109" i="4"/>
  <c r="T109" i="4"/>
  <c r="O109" i="4"/>
  <c r="N109" i="4"/>
  <c r="L109" i="4"/>
  <c r="K109" i="4"/>
  <c r="J109" i="4"/>
  <c r="I109" i="4"/>
  <c r="H109" i="4"/>
  <c r="G109" i="4"/>
  <c r="I108" i="4"/>
  <c r="F107" i="4"/>
  <c r="L106" i="4"/>
  <c r="K106" i="4"/>
  <c r="J106" i="4"/>
  <c r="H106" i="4"/>
  <c r="G106" i="4"/>
  <c r="G105" i="4" s="1"/>
  <c r="G530" i="4" s="1"/>
  <c r="E545" i="4" s="1"/>
  <c r="U105" i="4"/>
  <c r="U530" i="4" s="1"/>
  <c r="T105" i="4"/>
  <c r="T530" i="4" s="1"/>
  <c r="S105" i="4"/>
  <c r="S530" i="4" s="1"/>
  <c r="R105" i="4"/>
  <c r="R530" i="4" s="1"/>
  <c r="Q105" i="4"/>
  <c r="Q530" i="4" s="1"/>
  <c r="P105" i="4"/>
  <c r="P530" i="4" s="1"/>
  <c r="O105" i="4"/>
  <c r="O530" i="4" s="1"/>
  <c r="N105" i="4"/>
  <c r="N530" i="4" s="1"/>
  <c r="G545" i="4" s="1"/>
  <c r="M105" i="4"/>
  <c r="N104" i="4"/>
  <c r="N102" i="4" s="1"/>
  <c r="M104" i="4"/>
  <c r="K104" i="4"/>
  <c r="F104" i="4" s="1"/>
  <c r="E104" i="4" s="1"/>
  <c r="V104" i="4" s="1"/>
  <c r="K103" i="4"/>
  <c r="U102" i="4"/>
  <c r="T102" i="4"/>
  <c r="S102" i="4"/>
  <c r="R102" i="4"/>
  <c r="Q102" i="4"/>
  <c r="P102" i="4"/>
  <c r="O102" i="4"/>
  <c r="M102" i="4"/>
  <c r="L102" i="4"/>
  <c r="J102" i="4"/>
  <c r="I102" i="4"/>
  <c r="H102" i="4"/>
  <c r="G102" i="4"/>
  <c r="N101" i="4"/>
  <c r="N47" i="8" s="1"/>
  <c r="M101" i="4"/>
  <c r="K101" i="4"/>
  <c r="F101" i="4" s="1"/>
  <c r="E101" i="4" s="1"/>
  <c r="G101" i="4"/>
  <c r="M100" i="4"/>
  <c r="K100" i="4"/>
  <c r="F100" i="4" s="1"/>
  <c r="E100" i="4" s="1"/>
  <c r="N99" i="4"/>
  <c r="N43" i="8" s="1"/>
  <c r="M99" i="4"/>
  <c r="K99" i="4"/>
  <c r="U98" i="4"/>
  <c r="U528" i="4" s="1"/>
  <c r="T98" i="4"/>
  <c r="T528" i="4" s="1"/>
  <c r="S98" i="4"/>
  <c r="S528" i="4" s="1"/>
  <c r="R98" i="4"/>
  <c r="R528" i="4" s="1"/>
  <c r="Q98" i="4"/>
  <c r="Q528" i="4" s="1"/>
  <c r="P98" i="4"/>
  <c r="P528" i="4" s="1"/>
  <c r="O98" i="4"/>
  <c r="O528" i="4" s="1"/>
  <c r="M98" i="4"/>
  <c r="L98" i="4"/>
  <c r="L528" i="4" s="1"/>
  <c r="J98" i="4"/>
  <c r="J528" i="4" s="1"/>
  <c r="I98" i="4"/>
  <c r="I528" i="4" s="1"/>
  <c r="H98" i="4"/>
  <c r="H528" i="4" s="1"/>
  <c r="G98" i="4"/>
  <c r="G528" i="4" s="1"/>
  <c r="E543" i="4" s="1"/>
  <c r="M97" i="4"/>
  <c r="F97" i="4"/>
  <c r="E97" i="4"/>
  <c r="M96" i="4"/>
  <c r="F96" i="4"/>
  <c r="E96" i="4"/>
  <c r="M37" i="8" s="1"/>
  <c r="U95" i="4"/>
  <c r="T95" i="4"/>
  <c r="S95" i="4"/>
  <c r="R95" i="4"/>
  <c r="Q95" i="4"/>
  <c r="P95" i="4"/>
  <c r="O95" i="4"/>
  <c r="M95" i="4" s="1"/>
  <c r="N95" i="4"/>
  <c r="K95" i="4"/>
  <c r="J95" i="4"/>
  <c r="I95" i="4"/>
  <c r="H95" i="4"/>
  <c r="G95" i="4"/>
  <c r="F95" i="4"/>
  <c r="E95" i="4" s="1"/>
  <c r="N94" i="4"/>
  <c r="M94" i="4"/>
  <c r="V94" i="4" s="1"/>
  <c r="F94" i="4"/>
  <c r="E94" i="4"/>
  <c r="F93" i="4"/>
  <c r="E93" i="4" s="1"/>
  <c r="K92" i="4"/>
  <c r="F92" i="4"/>
  <c r="L91" i="4"/>
  <c r="K91" i="4"/>
  <c r="J91" i="4"/>
  <c r="I91" i="4"/>
  <c r="H91" i="4"/>
  <c r="G91" i="4"/>
  <c r="F91" i="4" s="1"/>
  <c r="E91" i="4" s="1"/>
  <c r="V91" i="4" s="1"/>
  <c r="U90" i="4"/>
  <c r="T90" i="4"/>
  <c r="S90" i="4"/>
  <c r="R90" i="4"/>
  <c r="Q90" i="4"/>
  <c r="P90" i="4"/>
  <c r="O90" i="4"/>
  <c r="N90" i="4"/>
  <c r="M90" i="4"/>
  <c r="L90" i="4"/>
  <c r="K90" i="4"/>
  <c r="J90" i="4"/>
  <c r="I90" i="4"/>
  <c r="H90" i="4"/>
  <c r="G90" i="4"/>
  <c r="F89" i="4"/>
  <c r="E89" i="4" s="1"/>
  <c r="V89" i="4" s="1"/>
  <c r="M88" i="4"/>
  <c r="I88" i="4"/>
  <c r="F88" i="4" s="1"/>
  <c r="E88" i="4"/>
  <c r="V88" i="4" s="1"/>
  <c r="M87" i="4"/>
  <c r="V87" i="4" s="1"/>
  <c r="M86" i="4"/>
  <c r="V86" i="4" s="1"/>
  <c r="M85" i="4"/>
  <c r="V85" i="4" s="1"/>
  <c r="N84" i="4"/>
  <c r="N32" i="8" s="1"/>
  <c r="M84" i="4"/>
  <c r="V84" i="4" s="1"/>
  <c r="F84" i="4"/>
  <c r="E84" i="4" s="1"/>
  <c r="T83" i="4"/>
  <c r="N83" i="4" s="1"/>
  <c r="N24" i="4" s="1"/>
  <c r="M83" i="4"/>
  <c r="V83" i="4" s="1"/>
  <c r="U82" i="4"/>
  <c r="U83" i="4" s="1"/>
  <c r="N82" i="4"/>
  <c r="N31" i="8" s="1"/>
  <c r="M82" i="4"/>
  <c r="V82" i="4" s="1"/>
  <c r="N81" i="4"/>
  <c r="N30" i="8" s="1"/>
  <c r="M81" i="4"/>
  <c r="V81" i="4" s="1"/>
  <c r="V80" i="4"/>
  <c r="F80" i="4"/>
  <c r="E80" i="4"/>
  <c r="M79" i="4"/>
  <c r="V79" i="4" s="1"/>
  <c r="F79" i="4"/>
  <c r="E79" i="4"/>
  <c r="N78" i="4"/>
  <c r="M78" i="4"/>
  <c r="K78" i="4"/>
  <c r="G78" i="4"/>
  <c r="F78" i="4"/>
  <c r="E78" i="4" s="1"/>
  <c r="L77" i="4"/>
  <c r="K77" i="4"/>
  <c r="K21" i="4" s="1"/>
  <c r="J77" i="4"/>
  <c r="I77" i="4"/>
  <c r="H77" i="4"/>
  <c r="G77" i="4"/>
  <c r="G21" i="4" s="1"/>
  <c r="N76" i="4"/>
  <c r="M76" i="4"/>
  <c r="F76" i="4"/>
  <c r="F77" i="4" s="1"/>
  <c r="F21" i="4" s="1"/>
  <c r="E21" i="4" s="1"/>
  <c r="U75" i="4"/>
  <c r="T75" i="4"/>
  <c r="M75" i="4"/>
  <c r="K75" i="4"/>
  <c r="J75" i="4"/>
  <c r="I75" i="4"/>
  <c r="H75" i="4"/>
  <c r="G75" i="4"/>
  <c r="F75" i="4"/>
  <c r="E75" i="4" s="1"/>
  <c r="V75" i="4" s="1"/>
  <c r="N74" i="4"/>
  <c r="N75" i="4" s="1"/>
  <c r="M74" i="4"/>
  <c r="F74" i="4"/>
  <c r="E74" i="4"/>
  <c r="V74" i="4" s="1"/>
  <c r="N73" i="4"/>
  <c r="M73" i="4"/>
  <c r="F73" i="4"/>
  <c r="E73" i="4" s="1"/>
  <c r="K72" i="4"/>
  <c r="G72" i="4"/>
  <c r="N71" i="4"/>
  <c r="M71" i="4"/>
  <c r="V71" i="4" s="1"/>
  <c r="F71" i="4"/>
  <c r="E71" i="4" s="1"/>
  <c r="K70" i="4"/>
  <c r="G70" i="4"/>
  <c r="F70" i="4" s="1"/>
  <c r="E70" i="4" s="1"/>
  <c r="V70" i="4" s="1"/>
  <c r="N69" i="4"/>
  <c r="M69" i="4"/>
  <c r="K69" i="4"/>
  <c r="F69" i="4" s="1"/>
  <c r="E69" i="4" s="1"/>
  <c r="F68" i="4"/>
  <c r="M67" i="4"/>
  <c r="K67" i="4"/>
  <c r="F66" i="4"/>
  <c r="N65" i="4"/>
  <c r="N24" i="8" s="1"/>
  <c r="M65" i="4"/>
  <c r="K65" i="4"/>
  <c r="F65" i="4"/>
  <c r="E65" i="4" s="1"/>
  <c r="U64" i="4"/>
  <c r="T64" i="4"/>
  <c r="M64" i="4" s="1"/>
  <c r="S64" i="4"/>
  <c r="R64" i="4"/>
  <c r="Q64" i="4"/>
  <c r="P64" i="4"/>
  <c r="O64" i="4"/>
  <c r="N64" i="4"/>
  <c r="J64" i="4"/>
  <c r="I64" i="4"/>
  <c r="H64" i="4"/>
  <c r="G64" i="4"/>
  <c r="M63" i="4"/>
  <c r="F63" i="4"/>
  <c r="E63" i="4"/>
  <c r="K62" i="4"/>
  <c r="G62" i="4"/>
  <c r="F62" i="4"/>
  <c r="E62" i="4" s="1"/>
  <c r="V62" i="4" s="1"/>
  <c r="F61" i="4"/>
  <c r="E61" i="4"/>
  <c r="V61" i="4" s="1"/>
  <c r="F60" i="4"/>
  <c r="E60" i="4" s="1"/>
  <c r="V60" i="4" s="1"/>
  <c r="M59" i="4"/>
  <c r="K59" i="4"/>
  <c r="G59" i="4"/>
  <c r="F59" i="4"/>
  <c r="E59" i="4" s="1"/>
  <c r="V59" i="4" s="1"/>
  <c r="M58" i="4"/>
  <c r="F58" i="4"/>
  <c r="E58" i="4" s="1"/>
  <c r="V58" i="4" s="1"/>
  <c r="N57" i="4"/>
  <c r="M57" i="4"/>
  <c r="V57" i="4" s="1"/>
  <c r="E57" i="4"/>
  <c r="M56" i="4"/>
  <c r="F56" i="4"/>
  <c r="E56" i="4" s="1"/>
  <c r="V56" i="4" s="1"/>
  <c r="M55" i="4"/>
  <c r="F55" i="4"/>
  <c r="E55" i="4" s="1"/>
  <c r="V55" i="4" s="1"/>
  <c r="M54" i="4"/>
  <c r="K54" i="4"/>
  <c r="F54" i="4" s="1"/>
  <c r="E54" i="4" s="1"/>
  <c r="V54" i="4" s="1"/>
  <c r="G54" i="4"/>
  <c r="V53" i="4"/>
  <c r="N53" i="4"/>
  <c r="M53" i="4"/>
  <c r="N52" i="4"/>
  <c r="N22" i="8" s="1"/>
  <c r="M52" i="4"/>
  <c r="K52" i="4"/>
  <c r="G52" i="4"/>
  <c r="F52" i="4"/>
  <c r="E52" i="4" s="1"/>
  <c r="V52" i="4" s="1"/>
  <c r="N51" i="4"/>
  <c r="M51" i="4"/>
  <c r="V51" i="4" s="1"/>
  <c r="F51" i="4"/>
  <c r="E51" i="4"/>
  <c r="N50" i="4"/>
  <c r="M50" i="4"/>
  <c r="F50" i="4"/>
  <c r="E50" i="4" s="1"/>
  <c r="E49" i="4" s="1"/>
  <c r="V49" i="4"/>
  <c r="U49" i="4"/>
  <c r="T49" i="4"/>
  <c r="S49" i="4"/>
  <c r="R49" i="4"/>
  <c r="Q49" i="4"/>
  <c r="P49" i="4"/>
  <c r="O49" i="4"/>
  <c r="N49" i="4"/>
  <c r="M49" i="4"/>
  <c r="L49" i="4"/>
  <c r="K49" i="4"/>
  <c r="J49" i="4"/>
  <c r="I49" i="4"/>
  <c r="H49" i="4"/>
  <c r="G49" i="4"/>
  <c r="F49" i="4"/>
  <c r="F48" i="4"/>
  <c r="E48" i="4"/>
  <c r="V48" i="4" s="1"/>
  <c r="F47" i="4"/>
  <c r="E47" i="4" s="1"/>
  <c r="V47" i="4" s="1"/>
  <c r="V46" i="4"/>
  <c r="F46" i="4"/>
  <c r="E46" i="4"/>
  <c r="E45" i="4" s="1"/>
  <c r="V45" i="4" s="1"/>
  <c r="L45" i="4"/>
  <c r="K45" i="4"/>
  <c r="J45" i="4"/>
  <c r="I45" i="4"/>
  <c r="H45" i="4"/>
  <c r="F45" i="4" s="1"/>
  <c r="G45" i="4"/>
  <c r="M44" i="4"/>
  <c r="F44" i="4"/>
  <c r="E44" i="4" s="1"/>
  <c r="V44" i="4" s="1"/>
  <c r="V43" i="4"/>
  <c r="F43" i="4"/>
  <c r="E43" i="4"/>
  <c r="F42" i="4"/>
  <c r="E42" i="4" s="1"/>
  <c r="V42" i="4" s="1"/>
  <c r="M41" i="4"/>
  <c r="K41" i="4"/>
  <c r="G41" i="4"/>
  <c r="V40" i="4"/>
  <c r="M40" i="4"/>
  <c r="F40" i="4"/>
  <c r="E40" i="4" s="1"/>
  <c r="M39" i="4"/>
  <c r="F39" i="4"/>
  <c r="E39" i="4" s="1"/>
  <c r="V39" i="4" s="1"/>
  <c r="N38" i="4"/>
  <c r="M38" i="4"/>
  <c r="F38" i="4"/>
  <c r="E38" i="4"/>
  <c r="V38" i="4" s="1"/>
  <c r="N37" i="4"/>
  <c r="M37" i="4"/>
  <c r="F37" i="4"/>
  <c r="E37" i="4" s="1"/>
  <c r="N36" i="4"/>
  <c r="M36" i="4"/>
  <c r="V36" i="4" s="1"/>
  <c r="F36" i="4"/>
  <c r="E36" i="4"/>
  <c r="M35" i="4"/>
  <c r="V35" i="4" s="1"/>
  <c r="F35" i="4"/>
  <c r="E35" i="4"/>
  <c r="M34" i="4"/>
  <c r="V34" i="4" s="1"/>
  <c r="F34" i="4"/>
  <c r="E34" i="4"/>
  <c r="N33" i="4"/>
  <c r="M33" i="4"/>
  <c r="V33" i="4" s="1"/>
  <c r="F33" i="4"/>
  <c r="E33" i="4" s="1"/>
  <c r="U32" i="4"/>
  <c r="T32" i="4"/>
  <c r="M32" i="4" s="1"/>
  <c r="S32" i="4"/>
  <c r="R32" i="4"/>
  <c r="Q32" i="4"/>
  <c r="P32" i="4"/>
  <c r="P15" i="4" s="1"/>
  <c r="P524" i="4" s="1"/>
  <c r="O32" i="4"/>
  <c r="N32" i="4"/>
  <c r="L32" i="4"/>
  <c r="L15" i="4" s="1"/>
  <c r="L524" i="4" s="1"/>
  <c r="J32" i="4"/>
  <c r="J15" i="4" s="1"/>
  <c r="I32" i="4"/>
  <c r="H32" i="4"/>
  <c r="H15" i="4" s="1"/>
  <c r="H524" i="4" s="1"/>
  <c r="G32" i="4"/>
  <c r="M31" i="4"/>
  <c r="F31" i="4"/>
  <c r="E31" i="4" s="1"/>
  <c r="V31" i="4" s="1"/>
  <c r="N30" i="4"/>
  <c r="N17" i="8" s="1"/>
  <c r="M30" i="4"/>
  <c r="K30" i="4"/>
  <c r="I30" i="4"/>
  <c r="G30" i="4"/>
  <c r="F30" i="4"/>
  <c r="I29" i="4"/>
  <c r="F29" i="4"/>
  <c r="E29" i="4" s="1"/>
  <c r="V29" i="4" s="1"/>
  <c r="T28" i="4"/>
  <c r="S28" i="4"/>
  <c r="R28" i="4"/>
  <c r="Q28" i="4"/>
  <c r="P28" i="4"/>
  <c r="O28" i="4"/>
  <c r="M28" i="4" s="1"/>
  <c r="L28" i="4"/>
  <c r="K28" i="4"/>
  <c r="J28" i="4"/>
  <c r="I28" i="4"/>
  <c r="H28" i="4"/>
  <c r="G28" i="4"/>
  <c r="K27" i="4"/>
  <c r="J27" i="4"/>
  <c r="I27" i="4"/>
  <c r="H27" i="4"/>
  <c r="G27" i="4"/>
  <c r="F27" i="4"/>
  <c r="E27" i="4"/>
  <c r="V27" i="4" s="1"/>
  <c r="K26" i="4"/>
  <c r="J26" i="4"/>
  <c r="I26" i="4"/>
  <c r="H26" i="4"/>
  <c r="G26" i="4"/>
  <c r="F26" i="4" s="1"/>
  <c r="E26" i="4" s="1"/>
  <c r="V26" i="4" s="1"/>
  <c r="T25" i="4"/>
  <c r="M25" i="4" s="1"/>
  <c r="V25" i="4" s="1"/>
  <c r="O25" i="4"/>
  <c r="U24" i="4"/>
  <c r="T24" i="4"/>
  <c r="M24" i="4"/>
  <c r="V24" i="4" s="1"/>
  <c r="V23" i="4"/>
  <c r="T23" i="4"/>
  <c r="O23" i="4"/>
  <c r="M23" i="4" s="1"/>
  <c r="V22" i="4"/>
  <c r="K22" i="4"/>
  <c r="J22" i="4"/>
  <c r="I22" i="4"/>
  <c r="H22" i="4"/>
  <c r="G22" i="4"/>
  <c r="F22" i="4"/>
  <c r="E22" i="4" s="1"/>
  <c r="V21" i="4"/>
  <c r="J21" i="4"/>
  <c r="I21" i="4"/>
  <c r="H21" i="4"/>
  <c r="U20" i="4"/>
  <c r="T20" i="4"/>
  <c r="M20" i="4" s="1"/>
  <c r="V20" i="4" s="1"/>
  <c r="S20" i="4"/>
  <c r="R20" i="4"/>
  <c r="Q20" i="4"/>
  <c r="P20" i="4"/>
  <c r="O20" i="4"/>
  <c r="N20" i="4"/>
  <c r="L20" i="4"/>
  <c r="K20" i="4"/>
  <c r="J20" i="4"/>
  <c r="I20" i="4"/>
  <c r="H20" i="4"/>
  <c r="G20" i="4"/>
  <c r="F20" i="4"/>
  <c r="E20" i="4" s="1"/>
  <c r="M19" i="4"/>
  <c r="L19" i="4"/>
  <c r="K19" i="4"/>
  <c r="J19" i="4"/>
  <c r="I19" i="4"/>
  <c r="H19" i="4"/>
  <c r="G19" i="4"/>
  <c r="F19" i="4"/>
  <c r="U18" i="4"/>
  <c r="T18" i="4"/>
  <c r="N18" i="4" s="1"/>
  <c r="M18" i="4"/>
  <c r="J18" i="4"/>
  <c r="U17" i="4"/>
  <c r="T17" i="4"/>
  <c r="M17" i="4" s="1"/>
  <c r="S17" i="4"/>
  <c r="R17" i="4"/>
  <c r="Q17" i="4"/>
  <c r="P17" i="4"/>
  <c r="O17" i="4"/>
  <c r="N17" i="4"/>
  <c r="L17" i="4"/>
  <c r="K17" i="4"/>
  <c r="J17" i="4"/>
  <c r="I17" i="4"/>
  <c r="H17" i="4"/>
  <c r="F17" i="4"/>
  <c r="E17" i="4"/>
  <c r="V17" i="4" s="1"/>
  <c r="M16" i="4"/>
  <c r="V16" i="4" s="1"/>
  <c r="L16" i="4"/>
  <c r="K16" i="4"/>
  <c r="J16" i="4"/>
  <c r="I16" i="4"/>
  <c r="H16" i="4"/>
  <c r="G16" i="4"/>
  <c r="F16" i="4" s="1"/>
  <c r="E16" i="4" s="1"/>
  <c r="U15" i="4"/>
  <c r="S15" i="4"/>
  <c r="S524" i="4" s="1"/>
  <c r="Q15" i="4"/>
  <c r="O15" i="4"/>
  <c r="O13" i="4" s="1"/>
  <c r="O12" i="4" s="1"/>
  <c r="M15" i="4"/>
  <c r="I15" i="4"/>
  <c r="M14" i="4"/>
  <c r="K14" i="4"/>
  <c r="F14" i="4"/>
  <c r="P13" i="4"/>
  <c r="P12" i="4" s="1"/>
  <c r="L13" i="4"/>
  <c r="L12" i="4" s="1"/>
  <c r="H13" i="4"/>
  <c r="H12" i="4" s="1"/>
  <c r="D48" i="3"/>
  <c r="F47" i="3"/>
  <c r="E47" i="3"/>
  <c r="D47" i="3"/>
  <c r="D46" i="3" s="1"/>
  <c r="F46" i="3"/>
  <c r="E46" i="3"/>
  <c r="E45" i="3"/>
  <c r="D45" i="3"/>
  <c r="F44" i="3"/>
  <c r="E44" i="3"/>
  <c r="D44" i="3"/>
  <c r="D43" i="3" s="1"/>
  <c r="D42" i="3" s="1"/>
  <c r="F41" i="3"/>
  <c r="F40" i="3" s="1"/>
  <c r="E41" i="3"/>
  <c r="E40" i="3"/>
  <c r="F39" i="3"/>
  <c r="E39" i="3"/>
  <c r="C39" i="3"/>
  <c r="E38" i="3"/>
  <c r="D37" i="3"/>
  <c r="D33" i="3" s="1"/>
  <c r="F36" i="3"/>
  <c r="F35" i="3" s="1"/>
  <c r="E36" i="3"/>
  <c r="C36" i="3"/>
  <c r="C35" i="3" s="1"/>
  <c r="C34" i="3" s="1"/>
  <c r="E35" i="3"/>
  <c r="E34" i="3" s="1"/>
  <c r="F34" i="3"/>
  <c r="F30" i="3"/>
  <c r="C30" i="3"/>
  <c r="C41" i="3" s="1"/>
  <c r="C40" i="3" s="1"/>
  <c r="F29" i="3"/>
  <c r="F28" i="3" s="1"/>
  <c r="C29" i="3"/>
  <c r="E28" i="3"/>
  <c r="F27" i="3"/>
  <c r="E27" i="3"/>
  <c r="C27" i="3"/>
  <c r="C26" i="3"/>
  <c r="C25" i="3"/>
  <c r="C24" i="3"/>
  <c r="F23" i="3"/>
  <c r="E23" i="3"/>
  <c r="C23" i="3"/>
  <c r="E22" i="3"/>
  <c r="E17" i="3" s="1"/>
  <c r="E10" i="3" s="1"/>
  <c r="D22" i="3"/>
  <c r="D17" i="3" s="1"/>
  <c r="D10" i="3" s="1"/>
  <c r="D31" i="3" s="1"/>
  <c r="F21" i="3"/>
  <c r="C21" i="3"/>
  <c r="C47" i="3" s="1"/>
  <c r="C46" i="3" s="1"/>
  <c r="C20" i="3"/>
  <c r="F19" i="3"/>
  <c r="C19" i="3"/>
  <c r="C45" i="3" s="1"/>
  <c r="C18" i="3"/>
  <c r="C44" i="3" s="1"/>
  <c r="C16" i="3"/>
  <c r="F15" i="3"/>
  <c r="E15" i="3"/>
  <c r="C15" i="3"/>
  <c r="C12" i="3"/>
  <c r="F11" i="3"/>
  <c r="E11" i="3"/>
  <c r="C11" i="3"/>
  <c r="C193" i="2"/>
  <c r="C192" i="2"/>
  <c r="C191" i="2"/>
  <c r="C190" i="2"/>
  <c r="C189" i="2"/>
  <c r="C188" i="2"/>
  <c r="C187" i="2"/>
  <c r="C186" i="2"/>
  <c r="C185" i="2"/>
  <c r="C184" i="2"/>
  <c r="C183" i="2"/>
  <c r="C182" i="2"/>
  <c r="C181" i="2"/>
  <c r="C180" i="2"/>
  <c r="C179" i="2"/>
  <c r="C178" i="2"/>
  <c r="C177" i="2"/>
  <c r="C176" i="2"/>
  <c r="C175" i="2"/>
  <c r="C174" i="2"/>
  <c r="F173" i="2"/>
  <c r="E173" i="2"/>
  <c r="C173" i="2" s="1"/>
  <c r="D173" i="2"/>
  <c r="C171" i="2"/>
  <c r="C170" i="2"/>
  <c r="C169" i="2"/>
  <c r="C168" i="2"/>
  <c r="C167" i="2"/>
  <c r="C166" i="2"/>
  <c r="C165" i="2"/>
  <c r="C164" i="2"/>
  <c r="C163" i="2"/>
  <c r="C162" i="2"/>
  <c r="C161" i="2"/>
  <c r="C160" i="2"/>
  <c r="C159" i="2"/>
  <c r="C158" i="2"/>
  <c r="C157" i="2"/>
  <c r="C156" i="2"/>
  <c r="C155" i="2"/>
  <c r="C154" i="2"/>
  <c r="F153" i="2"/>
  <c r="E153" i="2"/>
  <c r="D153" i="2"/>
  <c r="C153" i="2"/>
  <c r="C152" i="2"/>
  <c r="C151" i="2"/>
  <c r="C150" i="2"/>
  <c r="C149" i="2"/>
  <c r="C147" i="2" s="1"/>
  <c r="C148" i="2"/>
  <c r="D147" i="2"/>
  <c r="C146" i="2"/>
  <c r="C145" i="2"/>
  <c r="D144" i="2"/>
  <c r="C144" i="2"/>
  <c r="C143" i="2"/>
  <c r="C142" i="2" s="1"/>
  <c r="D142" i="2"/>
  <c r="F140" i="2"/>
  <c r="E140" i="2"/>
  <c r="C139" i="2"/>
  <c r="C136" i="2"/>
  <c r="E135" i="2"/>
  <c r="C135" i="2"/>
  <c r="F134" i="2"/>
  <c r="C134" i="2"/>
  <c r="F133" i="2"/>
  <c r="C133" i="2"/>
  <c r="F132" i="2"/>
  <c r="C132" i="2"/>
  <c r="F131" i="2"/>
  <c r="E131" i="2"/>
  <c r="F130" i="2"/>
  <c r="F124" i="2" s="1"/>
  <c r="F129" i="2"/>
  <c r="C129" i="2"/>
  <c r="C128" i="2"/>
  <c r="C127" i="2"/>
  <c r="F126" i="2"/>
  <c r="E126" i="2"/>
  <c r="C126" i="2" s="1"/>
  <c r="D126" i="2"/>
  <c r="F125" i="2"/>
  <c r="E125" i="2"/>
  <c r="C125" i="2" s="1"/>
  <c r="D125" i="2"/>
  <c r="D124" i="2"/>
  <c r="C123" i="2"/>
  <c r="C122" i="2"/>
  <c r="E121" i="2"/>
  <c r="C121" i="2"/>
  <c r="C120" i="2"/>
  <c r="C119" i="2"/>
  <c r="C118" i="2"/>
  <c r="C117" i="2"/>
  <c r="E116" i="2"/>
  <c r="E115" i="2" s="1"/>
  <c r="C116" i="2"/>
  <c r="C115" i="2"/>
  <c r="F114" i="2"/>
  <c r="C114" i="2"/>
  <c r="E113" i="2"/>
  <c r="C112" i="2"/>
  <c r="F111" i="2"/>
  <c r="C111" i="2"/>
  <c r="F110" i="2"/>
  <c r="E110" i="2"/>
  <c r="C110" i="2" s="1"/>
  <c r="D110" i="2"/>
  <c r="C109" i="2"/>
  <c r="C108" i="2"/>
  <c r="C107" i="2"/>
  <c r="C106" i="2"/>
  <c r="C105" i="2"/>
  <c r="C104" i="2"/>
  <c r="C103" i="2"/>
  <c r="E102" i="2"/>
  <c r="D102" i="2"/>
  <c r="C102" i="2"/>
  <c r="C101" i="2"/>
  <c r="E100" i="2"/>
  <c r="D100" i="2"/>
  <c r="C100" i="2" s="1"/>
  <c r="C99" i="2"/>
  <c r="C98" i="2"/>
  <c r="C97" i="2"/>
  <c r="D96" i="2"/>
  <c r="C96" i="2"/>
  <c r="C95" i="2"/>
  <c r="D94" i="2"/>
  <c r="C94" i="2" s="1"/>
  <c r="C93" i="2"/>
  <c r="C92" i="2"/>
  <c r="C91" i="2"/>
  <c r="C90" i="2"/>
  <c r="D89" i="2"/>
  <c r="C89" i="2" s="1"/>
  <c r="D88" i="2"/>
  <c r="C88" i="2" s="1"/>
  <c r="C87" i="2"/>
  <c r="C86" i="2"/>
  <c r="C85" i="2"/>
  <c r="C84" i="2"/>
  <c r="C83" i="2"/>
  <c r="C82" i="2"/>
  <c r="C81" i="2"/>
  <c r="D80" i="2"/>
  <c r="C80" i="2"/>
  <c r="C79" i="2"/>
  <c r="C78" i="2"/>
  <c r="D77" i="2"/>
  <c r="C77" i="2"/>
  <c r="E76" i="2"/>
  <c r="D76" i="2"/>
  <c r="C76" i="2" s="1"/>
  <c r="E75" i="2"/>
  <c r="D75" i="2"/>
  <c r="C74" i="2"/>
  <c r="C73" i="2"/>
  <c r="C72" i="2"/>
  <c r="C71" i="2"/>
  <c r="C70" i="2"/>
  <c r="C69" i="2"/>
  <c r="C68" i="2"/>
  <c r="C67" i="2"/>
  <c r="F66" i="2"/>
  <c r="E66" i="2"/>
  <c r="D66" i="2"/>
  <c r="C66" i="2" s="1"/>
  <c r="F65" i="2"/>
  <c r="E65" i="2"/>
  <c r="D65" i="2"/>
  <c r="C65" i="2" s="1"/>
  <c r="C64" i="2"/>
  <c r="C63" i="2"/>
  <c r="C62" i="2"/>
  <c r="E61" i="2"/>
  <c r="F61" i="2" s="1"/>
  <c r="F43" i="2" s="1"/>
  <c r="D61" i="2"/>
  <c r="C61" i="2"/>
  <c r="C60" i="2"/>
  <c r="C59" i="2"/>
  <c r="D58" i="2"/>
  <c r="C58" i="2"/>
  <c r="C57" i="2"/>
  <c r="C56" i="2"/>
  <c r="D55" i="2"/>
  <c r="C55" i="2"/>
  <c r="C54" i="2"/>
  <c r="C53" i="2"/>
  <c r="C52" i="2"/>
  <c r="C51" i="2"/>
  <c r="D50" i="2"/>
  <c r="C50" i="2"/>
  <c r="C49" i="2"/>
  <c r="C48" i="2"/>
  <c r="F47" i="2"/>
  <c r="C47" i="2"/>
  <c r="F46" i="2"/>
  <c r="C46" i="2"/>
  <c r="D45" i="2"/>
  <c r="C45" i="2"/>
  <c r="F44" i="2"/>
  <c r="E44" i="2"/>
  <c r="E43" i="2" s="1"/>
  <c r="C43" i="2" s="1"/>
  <c r="D44" i="2"/>
  <c r="D43" i="2"/>
  <c r="C42" i="2"/>
  <c r="C41" i="2"/>
  <c r="D40" i="2"/>
  <c r="C40" i="2"/>
  <c r="C39" i="2"/>
  <c r="D38" i="2"/>
  <c r="C38" i="2" s="1"/>
  <c r="C37" i="2"/>
  <c r="D36" i="2"/>
  <c r="D35" i="2" s="1"/>
  <c r="C35" i="2" s="1"/>
  <c r="C36" i="2"/>
  <c r="C34" i="2"/>
  <c r="D33" i="2"/>
  <c r="C33" i="2" s="1"/>
  <c r="C32" i="2"/>
  <c r="D31" i="2"/>
  <c r="C31" i="2"/>
  <c r="C30" i="2"/>
  <c r="D29" i="2"/>
  <c r="C29" i="2" s="1"/>
  <c r="C28" i="2"/>
  <c r="D27" i="2"/>
  <c r="C27" i="2"/>
  <c r="C25" i="2"/>
  <c r="C24" i="2"/>
  <c r="C23" i="2"/>
  <c r="C22" i="2"/>
  <c r="D21" i="2"/>
  <c r="C21" i="2"/>
  <c r="C20" i="2"/>
  <c r="C19" i="2"/>
  <c r="C18" i="2"/>
  <c r="C17" i="2"/>
  <c r="C16" i="2"/>
  <c r="C15" i="2"/>
  <c r="C14" i="2"/>
  <c r="F13" i="2"/>
  <c r="F12" i="2" s="1"/>
  <c r="F11" i="2" s="1"/>
  <c r="D13" i="2"/>
  <c r="D138" i="2" s="1"/>
  <c r="C138" i="2" s="1"/>
  <c r="C13" i="2"/>
  <c r="E12" i="2"/>
  <c r="D12" i="2"/>
  <c r="C12" i="2"/>
  <c r="I110" i="15" l="1"/>
  <c r="I112" i="15" s="1"/>
  <c r="I115" i="15" s="1"/>
  <c r="I10" i="15"/>
  <c r="G110" i="15"/>
  <c r="G112" i="15" s="1"/>
  <c r="M44" i="8"/>
  <c r="L44" i="8" s="1"/>
  <c r="V100" i="4"/>
  <c r="E56" i="3"/>
  <c r="E49" i="3"/>
  <c r="E31" i="3"/>
  <c r="C10" i="3"/>
  <c r="E11" i="2"/>
  <c r="D26" i="2"/>
  <c r="C113" i="2"/>
  <c r="F113" i="2"/>
  <c r="F100" i="2" s="1"/>
  <c r="F75" i="2" s="1"/>
  <c r="F137" i="2" s="1"/>
  <c r="F194" i="2" s="1"/>
  <c r="E14" i="4"/>
  <c r="I524" i="4"/>
  <c r="V37" i="4"/>
  <c r="V63" i="4"/>
  <c r="F67" i="4"/>
  <c r="E67" i="4" s="1"/>
  <c r="V67" i="4" s="1"/>
  <c r="K64" i="4"/>
  <c r="V69" i="4"/>
  <c r="V73" i="4"/>
  <c r="M36" i="8"/>
  <c r="L36" i="8" s="1"/>
  <c r="V93" i="4"/>
  <c r="N37" i="8"/>
  <c r="V95" i="4"/>
  <c r="V97" i="4"/>
  <c r="F103" i="4"/>
  <c r="K102" i="4"/>
  <c r="E107" i="4"/>
  <c r="V145" i="4"/>
  <c r="K525" i="4"/>
  <c r="K144" i="4"/>
  <c r="K143" i="4" s="1"/>
  <c r="S525" i="4"/>
  <c r="S144" i="4"/>
  <c r="S143" i="4" s="1"/>
  <c r="E171" i="4"/>
  <c r="V171" i="4" s="1"/>
  <c r="V172" i="4"/>
  <c r="M526" i="4"/>
  <c r="N206" i="4"/>
  <c r="M206" i="4"/>
  <c r="V206" i="4" s="1"/>
  <c r="E212" i="4"/>
  <c r="V212" i="4" s="1"/>
  <c r="M108" i="8"/>
  <c r="L108" i="8" s="1"/>
  <c r="V219" i="4"/>
  <c r="C44" i="2"/>
  <c r="C17" i="3"/>
  <c r="F45" i="3"/>
  <c r="C22" i="3"/>
  <c r="C48" i="3" s="1"/>
  <c r="D49" i="3"/>
  <c r="M524" i="4"/>
  <c r="U524" i="4"/>
  <c r="U13" i="4"/>
  <c r="U12" i="4" s="1"/>
  <c r="N15" i="4"/>
  <c r="R15" i="4"/>
  <c r="V50" i="4"/>
  <c r="V65" i="4"/>
  <c r="F72" i="4"/>
  <c r="E72" i="4" s="1"/>
  <c r="V72" i="4" s="1"/>
  <c r="G15" i="4"/>
  <c r="V78" i="4"/>
  <c r="V96" i="4"/>
  <c r="F108" i="4"/>
  <c r="E108" i="4" s="1"/>
  <c r="I106" i="4"/>
  <c r="I105" i="4" s="1"/>
  <c r="I530" i="4" s="1"/>
  <c r="V118" i="4"/>
  <c r="G525" i="4"/>
  <c r="G144" i="4"/>
  <c r="G143" i="4" s="1"/>
  <c r="P525" i="4"/>
  <c r="P144" i="4"/>
  <c r="P143" i="4" s="1"/>
  <c r="M178" i="4"/>
  <c r="T146" i="4"/>
  <c r="I526" i="4"/>
  <c r="I198" i="4"/>
  <c r="I197" i="4" s="1"/>
  <c r="C75" i="2"/>
  <c r="D141" i="2"/>
  <c r="C28" i="3"/>
  <c r="D56" i="3"/>
  <c r="M13" i="4"/>
  <c r="E19" i="4"/>
  <c r="V19" i="4" s="1"/>
  <c r="F41" i="4"/>
  <c r="K32" i="4"/>
  <c r="K15" i="4" s="1"/>
  <c r="E68" i="4"/>
  <c r="V68" i="4" s="1"/>
  <c r="F28" i="4"/>
  <c r="E28" i="4" s="1"/>
  <c r="E92" i="4"/>
  <c r="F90" i="4"/>
  <c r="M530" i="4"/>
  <c r="K105" i="4"/>
  <c r="K530" i="4" s="1"/>
  <c r="F119" i="4"/>
  <c r="K117" i="4"/>
  <c r="V142" i="4"/>
  <c r="O525" i="4"/>
  <c r="M146" i="4"/>
  <c r="O144" i="4"/>
  <c r="O143" i="4" s="1"/>
  <c r="M85" i="8"/>
  <c r="L86" i="8"/>
  <c r="L92" i="8"/>
  <c r="M91" i="8"/>
  <c r="V163" i="4"/>
  <c r="E173" i="4"/>
  <c r="V173" i="4" s="1"/>
  <c r="F148" i="4"/>
  <c r="E148" i="4" s="1"/>
  <c r="V148" i="4" s="1"/>
  <c r="F181" i="4"/>
  <c r="E181" i="4" s="1"/>
  <c r="V181" i="4" s="1"/>
  <c r="I146" i="4"/>
  <c r="I178" i="4"/>
  <c r="U526" i="4"/>
  <c r="U198" i="4"/>
  <c r="U197" i="4" s="1"/>
  <c r="V204" i="4"/>
  <c r="M138" i="8"/>
  <c r="V300" i="4"/>
  <c r="C131" i="2"/>
  <c r="E130" i="2"/>
  <c r="C130" i="2" s="1"/>
  <c r="C43" i="3"/>
  <c r="C42" i="3" s="1"/>
  <c r="E48" i="3"/>
  <c r="E43" i="3" s="1"/>
  <c r="E42" i="3" s="1"/>
  <c r="F22" i="3"/>
  <c r="F48" i="3" s="1"/>
  <c r="C38" i="3"/>
  <c r="C37" i="3" s="1"/>
  <c r="C33" i="3" s="1"/>
  <c r="F38" i="3"/>
  <c r="F37" i="3" s="1"/>
  <c r="F33" i="3" s="1"/>
  <c r="E37" i="3"/>
  <c r="E33" i="3" s="1"/>
  <c r="Q524" i="4"/>
  <c r="Q13" i="4"/>
  <c r="Q12" i="4" s="1"/>
  <c r="V28" i="4"/>
  <c r="E30" i="4"/>
  <c r="V30" i="4"/>
  <c r="J524" i="4"/>
  <c r="J13" i="4"/>
  <c r="J12" i="4" s="1"/>
  <c r="L22" i="8"/>
  <c r="O22" i="8"/>
  <c r="E66" i="4"/>
  <c r="V66" i="4" s="1"/>
  <c r="F18" i="4"/>
  <c r="E18" i="4" s="1"/>
  <c r="V18" i="4" s="1"/>
  <c r="L32" i="8"/>
  <c r="O32" i="8"/>
  <c r="L37" i="8"/>
  <c r="M528" i="4"/>
  <c r="F99" i="4"/>
  <c r="K98" i="4"/>
  <c r="K528" i="4" s="1"/>
  <c r="M46" i="8"/>
  <c r="V101" i="4"/>
  <c r="V110" i="4"/>
  <c r="M109" i="4"/>
  <c r="V109" i="4" s="1"/>
  <c r="F545" i="4"/>
  <c r="E115" i="4"/>
  <c r="F113" i="4"/>
  <c r="F116" i="4"/>
  <c r="M76" i="8"/>
  <c r="L76" i="8" s="1"/>
  <c r="E121" i="4"/>
  <c r="V121" i="4" s="1"/>
  <c r="V123" i="4"/>
  <c r="M78" i="8"/>
  <c r="L78" i="8" s="1"/>
  <c r="V136" i="4"/>
  <c r="E179" i="4"/>
  <c r="V179" i="4" s="1"/>
  <c r="F178" i="4"/>
  <c r="E178" i="4" s="1"/>
  <c r="M198" i="4"/>
  <c r="V199" i="4"/>
  <c r="Q526" i="4"/>
  <c r="Q198" i="4"/>
  <c r="Q197" i="4" s="1"/>
  <c r="V260" i="4"/>
  <c r="V273" i="4"/>
  <c r="F299" i="4"/>
  <c r="K298" i="4"/>
  <c r="K297" i="4" s="1"/>
  <c r="M147" i="8"/>
  <c r="L148" i="8"/>
  <c r="L147" i="8" s="1"/>
  <c r="V315" i="4"/>
  <c r="O163" i="8"/>
  <c r="L163" i="8"/>
  <c r="E326" i="4"/>
  <c r="E317" i="4" s="1"/>
  <c r="F317" i="4"/>
  <c r="V326" i="4"/>
  <c r="M317" i="4"/>
  <c r="V317" i="4" s="1"/>
  <c r="F333" i="4"/>
  <c r="H332" i="4"/>
  <c r="V338" i="4"/>
  <c r="N175" i="8"/>
  <c r="O175" i="8" s="1"/>
  <c r="V345" i="4"/>
  <c r="N181" i="8"/>
  <c r="V351" i="4"/>
  <c r="M183" i="8"/>
  <c r="L183" i="8" s="1"/>
  <c r="V353" i="4"/>
  <c r="E357" i="4"/>
  <c r="F356" i="4"/>
  <c r="F355" i="4" s="1"/>
  <c r="M189" i="8"/>
  <c r="L189" i="8" s="1"/>
  <c r="V362" i="4"/>
  <c r="N195" i="8"/>
  <c r="O195" i="8" s="1"/>
  <c r="V378" i="4"/>
  <c r="M388" i="4"/>
  <c r="V389" i="4"/>
  <c r="E467" i="4"/>
  <c r="N478" i="4"/>
  <c r="M478" i="4"/>
  <c r="T466" i="4"/>
  <c r="T465" i="4" s="1"/>
  <c r="N504" i="4"/>
  <c r="N503" i="4" s="1"/>
  <c r="N523" i="4"/>
  <c r="M280" i="8"/>
  <c r="L280" i="8" s="1"/>
  <c r="V507" i="4"/>
  <c r="C62" i="11"/>
  <c r="C61" i="11" s="1"/>
  <c r="D61" i="11"/>
  <c r="D60" i="11" s="1"/>
  <c r="K514" i="4"/>
  <c r="K515" i="4" s="1"/>
  <c r="O17" i="8"/>
  <c r="O13" i="8" s="1"/>
  <c r="L17" i="8"/>
  <c r="N13" i="8"/>
  <c r="F64" i="4"/>
  <c r="E64" i="4" s="1"/>
  <c r="V64" i="4" s="1"/>
  <c r="O24" i="8"/>
  <c r="L24" i="8"/>
  <c r="E76" i="4"/>
  <c r="E77" i="4" s="1"/>
  <c r="V77" i="4" s="1"/>
  <c r="L31" i="8"/>
  <c r="O31" i="8"/>
  <c r="N98" i="4"/>
  <c r="N528" i="4" s="1"/>
  <c r="G543" i="4" s="1"/>
  <c r="N61" i="8"/>
  <c r="O64" i="8"/>
  <c r="O61" i="8" s="1"/>
  <c r="L64" i="8"/>
  <c r="E113" i="4"/>
  <c r="V113" i="4" s="1"/>
  <c r="L68" i="8"/>
  <c r="N66" i="8"/>
  <c r="O68" i="8"/>
  <c r="O66" i="8" s="1"/>
  <c r="L77" i="8"/>
  <c r="O77" i="8"/>
  <c r="E134" i="4"/>
  <c r="L79" i="8"/>
  <c r="O79" i="8"/>
  <c r="L90" i="8"/>
  <c r="O90" i="8"/>
  <c r="O88" i="8" s="1"/>
  <c r="N88" i="8"/>
  <c r="O97" i="8"/>
  <c r="O95" i="8" s="1"/>
  <c r="L97" i="8"/>
  <c r="N95" i="8"/>
  <c r="O106" i="8"/>
  <c r="L106" i="8"/>
  <c r="J526" i="4"/>
  <c r="M109" i="8"/>
  <c r="L109" i="8" s="1"/>
  <c r="V220" i="4"/>
  <c r="V261" i="4"/>
  <c r="F263" i="4"/>
  <c r="E263" i="4" s="1"/>
  <c r="K258" i="4"/>
  <c r="V264" i="4"/>
  <c r="S302" i="4"/>
  <c r="S301" i="4" s="1"/>
  <c r="V306" i="4"/>
  <c r="M305" i="4"/>
  <c r="V309" i="4"/>
  <c r="H302" i="4"/>
  <c r="H301" i="4" s="1"/>
  <c r="M165" i="8"/>
  <c r="L165" i="8" s="1"/>
  <c r="V329" i="4"/>
  <c r="E337" i="4"/>
  <c r="F336" i="4"/>
  <c r="E336" i="4" s="1"/>
  <c r="V336" i="4" s="1"/>
  <c r="M173" i="8"/>
  <c r="L173" i="8" s="1"/>
  <c r="V339" i="4"/>
  <c r="N177" i="8"/>
  <c r="N176" i="8" s="1"/>
  <c r="V347" i="4"/>
  <c r="L186" i="8"/>
  <c r="M185" i="8"/>
  <c r="F363" i="4"/>
  <c r="K360" i="4"/>
  <c r="K359" i="4" s="1"/>
  <c r="P513" i="4"/>
  <c r="G403" i="4"/>
  <c r="K403" i="4"/>
  <c r="N447" i="4"/>
  <c r="N446" i="4" s="1"/>
  <c r="N532" i="4"/>
  <c r="G547" i="4" s="1"/>
  <c r="F458" i="4"/>
  <c r="E458" i="4" s="1"/>
  <c r="H532" i="4"/>
  <c r="N256" i="8"/>
  <c r="V474" i="4"/>
  <c r="O524" i="4"/>
  <c r="M514" i="4"/>
  <c r="O30" i="8"/>
  <c r="L30" i="8"/>
  <c r="O43" i="8"/>
  <c r="O41" i="8" s="1"/>
  <c r="L43" i="8"/>
  <c r="N41" i="8"/>
  <c r="O47" i="8"/>
  <c r="O45" i="8" s="1"/>
  <c r="N45" i="8"/>
  <c r="L47" i="8"/>
  <c r="M66" i="8"/>
  <c r="L67" i="8"/>
  <c r="L66" i="8" s="1"/>
  <c r="L87" i="8"/>
  <c r="N85" i="8"/>
  <c r="O87" i="8"/>
  <c r="O85" i="8" s="1"/>
  <c r="M88" i="8"/>
  <c r="L88" i="8" s="1"/>
  <c r="L89" i="8"/>
  <c r="L96" i="8"/>
  <c r="L95" i="8" s="1"/>
  <c r="M95" i="8"/>
  <c r="D92" i="6"/>
  <c r="G526" i="4"/>
  <c r="O526" i="4"/>
  <c r="S526" i="4"/>
  <c r="S521" i="4" s="1"/>
  <c r="F259" i="4"/>
  <c r="E259" i="4" s="1"/>
  <c r="G258" i="4"/>
  <c r="F258" i="4" s="1"/>
  <c r="E258" i="4" s="1"/>
  <c r="V258" i="4" s="1"/>
  <c r="V259" i="4"/>
  <c r="V272" i="4"/>
  <c r="G302" i="4"/>
  <c r="G301" i="4" s="1"/>
  <c r="V321" i="4"/>
  <c r="V327" i="4"/>
  <c r="V531" i="4" s="1"/>
  <c r="V337" i="4"/>
  <c r="V349" i="4"/>
  <c r="M360" i="4"/>
  <c r="V361" i="4"/>
  <c r="F376" i="4"/>
  <c r="E376" i="4" s="1"/>
  <c r="V376" i="4" s="1"/>
  <c r="H360" i="4"/>
  <c r="H359" i="4" s="1"/>
  <c r="L195" i="8"/>
  <c r="O202" i="8"/>
  <c r="L202" i="8"/>
  <c r="V397" i="4"/>
  <c r="N216" i="8"/>
  <c r="L216" i="8" s="1"/>
  <c r="V399" i="4"/>
  <c r="H513" i="4"/>
  <c r="E425" i="4"/>
  <c r="F424" i="4"/>
  <c r="T532" i="4"/>
  <c r="M437" i="4"/>
  <c r="M232" i="8"/>
  <c r="L232" i="8" s="1"/>
  <c r="V442" i="4"/>
  <c r="N31" i="5"/>
  <c r="S13" i="4"/>
  <c r="S12" i="4" s="1"/>
  <c r="V14" i="4"/>
  <c r="T15" i="4"/>
  <c r="F543" i="4"/>
  <c r="Q144" i="4"/>
  <c r="Q143" i="4" s="1"/>
  <c r="U144" i="4"/>
  <c r="U143" i="4" s="1"/>
  <c r="N146" i="4"/>
  <c r="O93" i="8"/>
  <c r="O91" i="8" s="1"/>
  <c r="N91" i="8"/>
  <c r="L93" i="8"/>
  <c r="H526" i="4"/>
  <c r="F541" i="4" s="1"/>
  <c r="L526" i="4"/>
  <c r="P526" i="4"/>
  <c r="P521" i="4" s="1"/>
  <c r="T526" i="4"/>
  <c r="V270" i="4"/>
  <c r="E307" i="4"/>
  <c r="E305" i="4" s="1"/>
  <c r="E527" i="4" s="1"/>
  <c r="F305" i="4"/>
  <c r="F527" i="4" s="1"/>
  <c r="M152" i="8"/>
  <c r="L155" i="8"/>
  <c r="V316" i="4"/>
  <c r="N317" i="4"/>
  <c r="V346" i="4"/>
  <c r="M180" i="8"/>
  <c r="L180" i="8" s="1"/>
  <c r="V350" i="4"/>
  <c r="N352" i="4"/>
  <c r="N354" i="4"/>
  <c r="M354" i="4"/>
  <c r="U354" i="4"/>
  <c r="U352" i="4" s="1"/>
  <c r="U302" i="4" s="1"/>
  <c r="U301" i="4" s="1"/>
  <c r="T352" i="4"/>
  <c r="T302" i="4" s="1"/>
  <c r="T301" i="4" s="1"/>
  <c r="V358" i="4"/>
  <c r="V370" i="4"/>
  <c r="N196" i="8"/>
  <c r="O196" i="8" s="1"/>
  <c r="M379" i="4"/>
  <c r="V379" i="4" s="1"/>
  <c r="E392" i="4"/>
  <c r="F391" i="4"/>
  <c r="F390" i="4" s="1"/>
  <c r="L513" i="4"/>
  <c r="J404" i="4"/>
  <c r="F423" i="4"/>
  <c r="E538" i="4"/>
  <c r="V469" i="4"/>
  <c r="E500" i="4"/>
  <c r="F499" i="4"/>
  <c r="F498" i="4" s="1"/>
  <c r="V509" i="4"/>
  <c r="L94" i="8"/>
  <c r="M156" i="8"/>
  <c r="L156" i="8" s="1"/>
  <c r="M111" i="8"/>
  <c r="L111" i="8" s="1"/>
  <c r="L114" i="8"/>
  <c r="N112" i="8"/>
  <c r="N105" i="8" s="1"/>
  <c r="N104" i="8" s="1"/>
  <c r="O114" i="8"/>
  <c r="O112" i="8" s="1"/>
  <c r="O105" i="8" s="1"/>
  <c r="O104" i="8" s="1"/>
  <c r="L119" i="8"/>
  <c r="N116" i="8"/>
  <c r="O119" i="8"/>
  <c r="O116" i="8" s="1"/>
  <c r="V295" i="4"/>
  <c r="N298" i="4"/>
  <c r="N297" i="4" s="1"/>
  <c r="F303" i="4"/>
  <c r="L141" i="8"/>
  <c r="O141" i="8"/>
  <c r="F542" i="4"/>
  <c r="L146" i="8"/>
  <c r="O146" i="8"/>
  <c r="N152" i="8"/>
  <c r="N140" i="8" s="1"/>
  <c r="N139" i="8" s="1"/>
  <c r="L154" i="8"/>
  <c r="O154" i="8"/>
  <c r="O152" i="8" s="1"/>
  <c r="F531" i="4"/>
  <c r="L170" i="8"/>
  <c r="L169" i="8" s="1"/>
  <c r="O170" i="8"/>
  <c r="O169" i="8" s="1"/>
  <c r="N169" i="8"/>
  <c r="O176" i="8"/>
  <c r="K352" i="4"/>
  <c r="F352" i="4" s="1"/>
  <c r="E352" i="4" s="1"/>
  <c r="N188" i="8"/>
  <c r="N187" i="8" s="1"/>
  <c r="O189" i="8"/>
  <c r="V365" i="4"/>
  <c r="M215" i="8"/>
  <c r="L215" i="8" s="1"/>
  <c r="V398" i="4"/>
  <c r="E405" i="4"/>
  <c r="F430" i="4"/>
  <c r="G429" i="4"/>
  <c r="G428" i="4" s="1"/>
  <c r="M225" i="8"/>
  <c r="V432" i="4"/>
  <c r="N429" i="4"/>
  <c r="N428" i="4" s="1"/>
  <c r="F437" i="4"/>
  <c r="E438" i="4"/>
  <c r="K532" i="4"/>
  <c r="K429" i="4"/>
  <c r="K428" i="4" s="1"/>
  <c r="L236" i="8"/>
  <c r="V449" i="4"/>
  <c r="V485" i="4"/>
  <c r="E490" i="4"/>
  <c r="M270" i="8" s="1"/>
  <c r="F489" i="4"/>
  <c r="E489" i="4" s="1"/>
  <c r="M268" i="8" s="1"/>
  <c r="L268" i="8" s="1"/>
  <c r="M273" i="8"/>
  <c r="V494" i="4"/>
  <c r="M275" i="8"/>
  <c r="V496" i="4"/>
  <c r="N283" i="8"/>
  <c r="V511" i="4"/>
  <c r="M504" i="4"/>
  <c r="U521" i="4"/>
  <c r="F38" i="5"/>
  <c r="F31" i="5"/>
  <c r="L134" i="8"/>
  <c r="O137" i="8"/>
  <c r="O136" i="8" s="1"/>
  <c r="O135" i="8" s="1"/>
  <c r="N136" i="8"/>
  <c r="N135" i="8" s="1"/>
  <c r="L137" i="8"/>
  <c r="L175" i="8"/>
  <c r="M176" i="8"/>
  <c r="L176" i="8" s="1"/>
  <c r="L177" i="8"/>
  <c r="L181" i="8"/>
  <c r="L191" i="8"/>
  <c r="L190" i="8" s="1"/>
  <c r="M190" i="8"/>
  <c r="M188" i="8" s="1"/>
  <c r="L196" i="8"/>
  <c r="V380" i="4"/>
  <c r="O199" i="8"/>
  <c r="L199" i="8"/>
  <c r="M391" i="4"/>
  <c r="O513" i="4"/>
  <c r="S513" i="4"/>
  <c r="I403" i="4"/>
  <c r="M404" i="4"/>
  <c r="E409" i="4"/>
  <c r="V409" i="4" s="1"/>
  <c r="F407" i="4"/>
  <c r="E407" i="4" s="1"/>
  <c r="V407" i="4" s="1"/>
  <c r="H521" i="4"/>
  <c r="L521" i="4"/>
  <c r="M243" i="8"/>
  <c r="L243" i="8" s="1"/>
  <c r="E462" i="4"/>
  <c r="V462" i="4" s="1"/>
  <c r="V467" i="4"/>
  <c r="L250" i="8"/>
  <c r="V470" i="4"/>
  <c r="V472" i="4"/>
  <c r="V479" i="4"/>
  <c r="F481" i="4"/>
  <c r="E481" i="4" s="1"/>
  <c r="M263" i="8" s="1"/>
  <c r="L263" i="8" s="1"/>
  <c r="K478" i="4"/>
  <c r="L260" i="8"/>
  <c r="M266" i="8"/>
  <c r="L266" i="8" s="1"/>
  <c r="V486" i="4"/>
  <c r="F488" i="4"/>
  <c r="E487" i="4"/>
  <c r="F493" i="4"/>
  <c r="K492" i="4"/>
  <c r="K491" i="4" s="1"/>
  <c r="K523" i="4"/>
  <c r="E510" i="4"/>
  <c r="F529" i="4"/>
  <c r="Q521" i="4"/>
  <c r="K20" i="5"/>
  <c r="M20" i="5" s="1"/>
  <c r="M21" i="5"/>
  <c r="V239" i="4"/>
  <c r="N302" i="4"/>
  <c r="N301" i="4" s="1"/>
  <c r="V307" i="4"/>
  <c r="N531" i="4"/>
  <c r="G546" i="4" s="1"/>
  <c r="V348" i="4"/>
  <c r="L198" i="8"/>
  <c r="O198" i="8"/>
  <c r="L217" i="8"/>
  <c r="O217" i="8"/>
  <c r="N219" i="8"/>
  <c r="L219" i="8" s="1"/>
  <c r="V402" i="4"/>
  <c r="N403" i="4"/>
  <c r="V414" i="4"/>
  <c r="E416" i="4"/>
  <c r="V416" i="4" s="1"/>
  <c r="E427" i="4"/>
  <c r="F426" i="4"/>
  <c r="E433" i="4"/>
  <c r="F431" i="4"/>
  <c r="E448" i="4"/>
  <c r="E447" i="4" s="1"/>
  <c r="E446" i="4" s="1"/>
  <c r="F447" i="4"/>
  <c r="F446" i="4" s="1"/>
  <c r="N237" i="8"/>
  <c r="O237" i="8" s="1"/>
  <c r="V448" i="4"/>
  <c r="M447" i="4"/>
  <c r="M237" i="8"/>
  <c r="V450" i="4"/>
  <c r="G532" i="4"/>
  <c r="N466" i="4"/>
  <c r="N465" i="4" s="1"/>
  <c r="M253" i="8"/>
  <c r="L253" i="8" s="1"/>
  <c r="V471" i="4"/>
  <c r="M257" i="8"/>
  <c r="D82" i="6"/>
  <c r="D83" i="6" s="1"/>
  <c r="M262" i="8"/>
  <c r="L262" i="8" s="1"/>
  <c r="V480" i="4"/>
  <c r="L265" i="8"/>
  <c r="O265" i="8"/>
  <c r="M489" i="4"/>
  <c r="M466" i="4" s="1"/>
  <c r="M465" i="4" s="1"/>
  <c r="M276" i="8"/>
  <c r="L276" i="8" s="1"/>
  <c r="V497" i="4"/>
  <c r="M281" i="8"/>
  <c r="L281" i="8" s="1"/>
  <c r="V508" i="4"/>
  <c r="M523" i="4"/>
  <c r="O14" i="5"/>
  <c r="O15" i="5"/>
  <c r="L117" i="8"/>
  <c r="L116" i="8" s="1"/>
  <c r="M116" i="8"/>
  <c r="L200" i="8"/>
  <c r="F418" i="4"/>
  <c r="V452" i="4"/>
  <c r="V455" i="4"/>
  <c r="V473" i="4"/>
  <c r="V475" i="4"/>
  <c r="N259" i="8"/>
  <c r="O261" i="8"/>
  <c r="O259" i="8" s="1"/>
  <c r="V490" i="4"/>
  <c r="V489" i="4" s="1"/>
  <c r="F505" i="4"/>
  <c r="F532" i="4"/>
  <c r="J514" i="4"/>
  <c r="J515" i="4" s="1"/>
  <c r="O12" i="5"/>
  <c r="Q14" i="5"/>
  <c r="O12" i="8"/>
  <c r="O11" i="8" s="1"/>
  <c r="L34" i="8"/>
  <c r="M33" i="8"/>
  <c r="L65" i="8"/>
  <c r="L61" i="8" s="1"/>
  <c r="M61" i="8"/>
  <c r="L112" i="8"/>
  <c r="J532" i="4"/>
  <c r="J521" i="4" s="1"/>
  <c r="O270" i="8"/>
  <c r="O267" i="8" s="1"/>
  <c r="N267" i="8"/>
  <c r="M278" i="8"/>
  <c r="L279" i="8"/>
  <c r="P22" i="5"/>
  <c r="P21" i="5" s="1"/>
  <c r="P20" i="5" s="1"/>
  <c r="O21" i="5"/>
  <c r="O20" i="5" s="1"/>
  <c r="I23" i="5"/>
  <c r="I22" i="5"/>
  <c r="I21" i="5" s="1"/>
  <c r="I20" i="5" s="1"/>
  <c r="J38" i="5"/>
  <c r="M38" i="5" s="1"/>
  <c r="L13" i="8"/>
  <c r="O210" i="8"/>
  <c r="O206" i="8" s="1"/>
  <c r="O204" i="8" s="1"/>
  <c r="O203" i="8" s="1"/>
  <c r="N206" i="8"/>
  <c r="N204" i="8" s="1"/>
  <c r="N203" i="8" s="1"/>
  <c r="L210" i="8"/>
  <c r="T429" i="4"/>
  <c r="T428" i="4" s="1"/>
  <c r="L223" i="8"/>
  <c r="O223" i="8"/>
  <c r="O236" i="8"/>
  <c r="N235" i="8"/>
  <c r="N234" i="8" s="1"/>
  <c r="L238" i="8"/>
  <c r="O238" i="8"/>
  <c r="O258" i="8"/>
  <c r="L258" i="8"/>
  <c r="V481" i="4"/>
  <c r="F546" i="4"/>
  <c r="Q18" i="5"/>
  <c r="Q15" i="5" s="1"/>
  <c r="N28" i="5"/>
  <c r="Q29" i="5"/>
  <c r="J31" i="5"/>
  <c r="M31" i="5" s="1"/>
  <c r="L38" i="5"/>
  <c r="O282" i="8"/>
  <c r="H33" i="5"/>
  <c r="H32" i="5" s="1"/>
  <c r="P34" i="5"/>
  <c r="P33" i="5" s="1"/>
  <c r="P32" i="5" s="1"/>
  <c r="P31" i="5" s="1"/>
  <c r="Q34" i="5"/>
  <c r="Q33" i="5" s="1"/>
  <c r="O33" i="5"/>
  <c r="O32" i="5" s="1"/>
  <c r="O31" i="5" s="1"/>
  <c r="N25" i="5"/>
  <c r="Q25" i="5" s="1"/>
  <c r="O222" i="8"/>
  <c r="O221" i="8" s="1"/>
  <c r="N12" i="5"/>
  <c r="Q12" i="5" s="1"/>
  <c r="O25" i="5"/>
  <c r="N18" i="8"/>
  <c r="L211" i="8"/>
  <c r="M206" i="8"/>
  <c r="I25" i="5"/>
  <c r="P26" i="5"/>
  <c r="C54" i="11"/>
  <c r="D53" i="11"/>
  <c r="C53" i="11" s="1"/>
  <c r="C9" i="11" s="1"/>
  <c r="D49" i="13"/>
  <c r="D52" i="13" s="1"/>
  <c r="M112" i="8"/>
  <c r="D9" i="11"/>
  <c r="F59" i="11"/>
  <c r="E59" i="11" s="1"/>
  <c r="E88" i="11" s="1"/>
  <c r="C26" i="12"/>
  <c r="E12" i="12"/>
  <c r="C28" i="13"/>
  <c r="C30" i="13" s="1"/>
  <c r="F68" i="12"/>
  <c r="E38" i="12"/>
  <c r="C38" i="12" s="1"/>
  <c r="K155" i="1"/>
  <c r="L161" i="1"/>
  <c r="K161" i="1"/>
  <c r="I155" i="1"/>
  <c r="H155" i="1"/>
  <c r="M165" i="1"/>
  <c r="M164" i="1"/>
  <c r="L165" i="1"/>
  <c r="L164" i="1"/>
  <c r="K165" i="1"/>
  <c r="K164" i="1"/>
  <c r="I152" i="1"/>
  <c r="L152" i="1" s="1"/>
  <c r="H152" i="1"/>
  <c r="E68" i="12" l="1"/>
  <c r="C12" i="12"/>
  <c r="C68" i="12" s="1"/>
  <c r="F88" i="11"/>
  <c r="N12" i="8"/>
  <c r="N11" i="8" s="1"/>
  <c r="L18" i="8"/>
  <c r="P38" i="5"/>
  <c r="L33" i="8"/>
  <c r="F504" i="4"/>
  <c r="F503" i="4" s="1"/>
  <c r="F523" i="4"/>
  <c r="E505" i="4"/>
  <c r="M226" i="8"/>
  <c r="L226" i="8" s="1"/>
  <c r="V433" i="4"/>
  <c r="M403" i="4"/>
  <c r="L225" i="8"/>
  <c r="V405" i="4"/>
  <c r="M352" i="4"/>
  <c r="V352" i="4" s="1"/>
  <c r="Q513" i="4"/>
  <c r="E541" i="4"/>
  <c r="N84" i="8"/>
  <c r="N83" i="8" s="1"/>
  <c r="F547" i="4"/>
  <c r="L185" i="8"/>
  <c r="M184" i="8"/>
  <c r="L184" i="8" s="1"/>
  <c r="E333" i="4"/>
  <c r="F332" i="4"/>
  <c r="E299" i="4"/>
  <c r="F298" i="4"/>
  <c r="F297" i="4" s="1"/>
  <c r="M525" i="4"/>
  <c r="E540" i="4"/>
  <c r="F43" i="3"/>
  <c r="F42" i="3" s="1"/>
  <c r="F106" i="4"/>
  <c r="E124" i="2"/>
  <c r="D11" i="2"/>
  <c r="C26" i="2"/>
  <c r="M204" i="8"/>
  <c r="L206" i="8"/>
  <c r="H38" i="5"/>
  <c r="H31" i="5"/>
  <c r="I38" i="5"/>
  <c r="O235" i="8"/>
  <c r="O234" i="8" s="1"/>
  <c r="M277" i="8"/>
  <c r="L237" i="8"/>
  <c r="F478" i="4"/>
  <c r="K466" i="4"/>
  <c r="K465" i="4" s="1"/>
  <c r="F538" i="4"/>
  <c r="M390" i="4"/>
  <c r="O283" i="8"/>
  <c r="N278" i="8"/>
  <c r="N277" i="8" s="1"/>
  <c r="L283" i="8"/>
  <c r="L273" i="8"/>
  <c r="O188" i="8"/>
  <c r="O187" i="8" s="1"/>
  <c r="O140" i="8"/>
  <c r="O139" i="8" s="1"/>
  <c r="F302" i="4"/>
  <c r="F301" i="4" s="1"/>
  <c r="E303" i="4"/>
  <c r="V500" i="4"/>
  <c r="E499" i="4"/>
  <c r="E423" i="4"/>
  <c r="F422" i="4"/>
  <c r="E391" i="4"/>
  <c r="E390" i="4" s="1"/>
  <c r="V392" i="4"/>
  <c r="N182" i="8"/>
  <c r="V354" i="4"/>
  <c r="O521" i="4"/>
  <c r="M242" i="8"/>
  <c r="L242" i="8" s="1"/>
  <c r="V458" i="4"/>
  <c r="E135" i="4"/>
  <c r="V135" i="4" s="1"/>
  <c r="V134" i="4"/>
  <c r="V115" i="4"/>
  <c r="V116" i="4" s="1"/>
  <c r="E116" i="4"/>
  <c r="E99" i="4"/>
  <c r="M136" i="8"/>
  <c r="M135" i="8" s="1"/>
  <c r="L135" i="8" s="1"/>
  <c r="L138" i="8"/>
  <c r="L136" i="8" s="1"/>
  <c r="L85" i="8"/>
  <c r="E119" i="4"/>
  <c r="F117" i="4"/>
  <c r="E117" i="4" s="1"/>
  <c r="V117" i="4" s="1"/>
  <c r="M12" i="4"/>
  <c r="D140" i="2"/>
  <c r="C141" i="2"/>
  <c r="F17" i="3"/>
  <c r="F10" i="3" s="1"/>
  <c r="E106" i="4"/>
  <c r="V107" i="4"/>
  <c r="C56" i="3"/>
  <c r="C49" i="3"/>
  <c r="C31" i="3"/>
  <c r="O278" i="8"/>
  <c r="O277" i="8" s="1"/>
  <c r="Q28" i="5"/>
  <c r="N22" i="5"/>
  <c r="M446" i="4"/>
  <c r="V446" i="4" s="1"/>
  <c r="V447" i="4"/>
  <c r="E493" i="4"/>
  <c r="F492" i="4"/>
  <c r="F491" i="4" s="1"/>
  <c r="M187" i="8"/>
  <c r="L187" i="8" s="1"/>
  <c r="L188" i="8"/>
  <c r="M235" i="8"/>
  <c r="E431" i="4"/>
  <c r="V431" i="4" s="1"/>
  <c r="E430" i="4"/>
  <c r="F429" i="4"/>
  <c r="F428" i="4" s="1"/>
  <c r="J403" i="4"/>
  <c r="J513" i="4"/>
  <c r="K302" i="4"/>
  <c r="K301" i="4" s="1"/>
  <c r="Q31" i="5"/>
  <c r="M429" i="4"/>
  <c r="M428" i="4" s="1"/>
  <c r="M532" i="4"/>
  <c r="E424" i="4"/>
  <c r="V424" i="4" s="1"/>
  <c r="V425" i="4"/>
  <c r="V305" i="4"/>
  <c r="V527" i="4" s="1"/>
  <c r="M527" i="4"/>
  <c r="M121" i="8"/>
  <c r="L121" i="8" s="1"/>
  <c r="V263" i="4"/>
  <c r="D97" i="6"/>
  <c r="E356" i="4"/>
  <c r="E355" i="4" s="1"/>
  <c r="V355" i="4" s="1"/>
  <c r="V357" i="4"/>
  <c r="V356" i="4" s="1"/>
  <c r="I525" i="4"/>
  <c r="I144" i="4"/>
  <c r="I143" i="4" s="1"/>
  <c r="M84" i="8"/>
  <c r="V92" i="4"/>
  <c r="E90" i="4"/>
  <c r="V90" i="4" s="1"/>
  <c r="K524" i="4"/>
  <c r="K13" i="4"/>
  <c r="T525" i="4"/>
  <c r="T144" i="4"/>
  <c r="T143" i="4" s="1"/>
  <c r="G524" i="4"/>
  <c r="G13" i="4"/>
  <c r="R524" i="4"/>
  <c r="R521" i="4" s="1"/>
  <c r="R13" i="4"/>
  <c r="F203" i="4"/>
  <c r="I13" i="4"/>
  <c r="F514" i="4"/>
  <c r="F515" i="4" s="1"/>
  <c r="D88" i="11"/>
  <c r="C88" i="11" s="1"/>
  <c r="O38" i="5"/>
  <c r="M521" i="4"/>
  <c r="M255" i="8"/>
  <c r="L257" i="8"/>
  <c r="E547" i="4"/>
  <c r="E426" i="4"/>
  <c r="V426" i="4" s="1"/>
  <c r="V427" i="4"/>
  <c r="D78" i="6"/>
  <c r="V510" i="4"/>
  <c r="V529" i="4" s="1"/>
  <c r="E529" i="4"/>
  <c r="E488" i="4"/>
  <c r="V487" i="4"/>
  <c r="V488" i="4" s="1"/>
  <c r="M259" i="8"/>
  <c r="M503" i="4"/>
  <c r="L275" i="8"/>
  <c r="M274" i="8"/>
  <c r="L274" i="8" s="1"/>
  <c r="M267" i="8"/>
  <c r="L270" i="8"/>
  <c r="L267" i="8" s="1"/>
  <c r="M230" i="8"/>
  <c r="L230" i="8" s="1"/>
  <c r="E437" i="4"/>
  <c r="V438" i="4"/>
  <c r="F404" i="4"/>
  <c r="M140" i="8"/>
  <c r="L152" i="8"/>
  <c r="N525" i="4"/>
  <c r="G540" i="4" s="1"/>
  <c r="N144" i="4"/>
  <c r="N143" i="4" s="1"/>
  <c r="T524" i="4"/>
  <c r="T521" i="4" s="1"/>
  <c r="T13" i="4"/>
  <c r="Q32" i="5"/>
  <c r="U513" i="4"/>
  <c r="U514" i="4" s="1"/>
  <c r="M359" i="4"/>
  <c r="O84" i="8"/>
  <c r="O83" i="8" s="1"/>
  <c r="O256" i="8"/>
  <c r="O255" i="8" s="1"/>
  <c r="O249" i="8" s="1"/>
  <c r="O248" i="8" s="1"/>
  <c r="N255" i="8"/>
  <c r="N249" i="8" s="1"/>
  <c r="N248" i="8" s="1"/>
  <c r="L256" i="8"/>
  <c r="L255" i="8" s="1"/>
  <c r="E363" i="4"/>
  <c r="F360" i="4"/>
  <c r="F359" i="4" s="1"/>
  <c r="D59" i="11"/>
  <c r="C59" i="11" s="1"/>
  <c r="C60" i="11"/>
  <c r="G538" i="4"/>
  <c r="N521" i="4"/>
  <c r="M387" i="4"/>
  <c r="V387" i="4" s="1"/>
  <c r="V388" i="4"/>
  <c r="M197" i="4"/>
  <c r="M45" i="8"/>
  <c r="L46" i="8"/>
  <c r="L45" i="8" s="1"/>
  <c r="L91" i="8"/>
  <c r="V76" i="4"/>
  <c r="E41" i="4"/>
  <c r="F32" i="4"/>
  <c r="F15" i="4" s="1"/>
  <c r="V178" i="4"/>
  <c r="F146" i="4"/>
  <c r="M60" i="8"/>
  <c r="L60" i="8" s="1"/>
  <c r="V108" i="4"/>
  <c r="N524" i="4"/>
  <c r="G539" i="4" s="1"/>
  <c r="N13" i="4"/>
  <c r="M144" i="4"/>
  <c r="E103" i="4"/>
  <c r="V103" i="4" s="1"/>
  <c r="F102" i="4"/>
  <c r="E102" i="4" s="1"/>
  <c r="V102" i="4" s="1"/>
  <c r="H516" i="1"/>
  <c r="O284" i="8" l="1"/>
  <c r="M143" i="4"/>
  <c r="E32" i="4"/>
  <c r="V32" i="4" s="1"/>
  <c r="V41" i="4"/>
  <c r="M139" i="8"/>
  <c r="L139" i="8" s="1"/>
  <c r="L140" i="8"/>
  <c r="D79" i="6"/>
  <c r="L235" i="8"/>
  <c r="M234" i="8"/>
  <c r="L234" i="8" s="1"/>
  <c r="V493" i="4"/>
  <c r="E492" i="4"/>
  <c r="E514" i="4"/>
  <c r="E515" i="4" s="1"/>
  <c r="E498" i="4"/>
  <c r="V498" i="4" s="1"/>
  <c r="V499" i="4"/>
  <c r="V391" i="4"/>
  <c r="C124" i="2"/>
  <c r="E137" i="2"/>
  <c r="E194" i="2" s="1"/>
  <c r="F525" i="4"/>
  <c r="E146" i="4"/>
  <c r="F144" i="4"/>
  <c r="F143" i="4" s="1"/>
  <c r="I12" i="4"/>
  <c r="I513" i="4"/>
  <c r="G12" i="4"/>
  <c r="G513" i="4"/>
  <c r="K12" i="4"/>
  <c r="K513" i="4"/>
  <c r="M83" i="8"/>
  <c r="L83" i="8" s="1"/>
  <c r="L84" i="8"/>
  <c r="Q22" i="5"/>
  <c r="Q21" i="5" s="1"/>
  <c r="Q20" i="5" s="1"/>
  <c r="N21" i="5"/>
  <c r="C140" i="2"/>
  <c r="M72" i="8"/>
  <c r="L72" i="8" s="1"/>
  <c r="V119" i="4"/>
  <c r="F98" i="4"/>
  <c r="F528" i="4" s="1"/>
  <c r="L278" i="8"/>
  <c r="M203" i="8"/>
  <c r="L203" i="8" s="1"/>
  <c r="L204" i="8"/>
  <c r="F105" i="4"/>
  <c r="F530" i="4" s="1"/>
  <c r="E332" i="4"/>
  <c r="V332" i="4" s="1"/>
  <c r="V333" i="4"/>
  <c r="N284" i="8"/>
  <c r="N12" i="4"/>
  <c r="N513" i="4"/>
  <c r="G548" i="4"/>
  <c r="V363" i="4"/>
  <c r="E360" i="4"/>
  <c r="Q38" i="5"/>
  <c r="F526" i="4"/>
  <c r="E203" i="4"/>
  <c r="F198" i="4"/>
  <c r="F197" i="4" s="1"/>
  <c r="E539" i="4"/>
  <c r="G521" i="4"/>
  <c r="F539" i="4"/>
  <c r="F548" i="4" s="1"/>
  <c r="V430" i="4"/>
  <c r="E429" i="4"/>
  <c r="E428" i="4" s="1"/>
  <c r="V106" i="4"/>
  <c r="E105" i="4"/>
  <c r="M42" i="8"/>
  <c r="E98" i="4"/>
  <c r="V99" i="4"/>
  <c r="E302" i="4"/>
  <c r="E301" i="4" s="1"/>
  <c r="V303" i="4"/>
  <c r="L277" i="8"/>
  <c r="L224" i="8"/>
  <c r="L222" i="8" s="1"/>
  <c r="E504" i="4"/>
  <c r="E523" i="4"/>
  <c r="V505" i="4"/>
  <c r="M302" i="4"/>
  <c r="F403" i="4"/>
  <c r="F524" i="4"/>
  <c r="E15" i="4"/>
  <c r="F13" i="4"/>
  <c r="F12" i="4" s="1"/>
  <c r="T12" i="4"/>
  <c r="T513" i="4"/>
  <c r="V437" i="4"/>
  <c r="V532" i="4" s="1"/>
  <c r="E532" i="4"/>
  <c r="L259" i="8"/>
  <c r="L249" i="8" s="1"/>
  <c r="L248" i="8" s="1"/>
  <c r="M249" i="8"/>
  <c r="M248" i="8" s="1"/>
  <c r="R12" i="4"/>
  <c r="R513" i="4"/>
  <c r="F540" i="4"/>
  <c r="I521" i="4"/>
  <c r="D98" i="6"/>
  <c r="D103" i="6"/>
  <c r="V428" i="4"/>
  <c r="F56" i="3"/>
  <c r="F49" i="3"/>
  <c r="F31" i="3"/>
  <c r="O182" i="8"/>
  <c r="L182" i="8"/>
  <c r="E422" i="4"/>
  <c r="V423" i="4"/>
  <c r="M272" i="8"/>
  <c r="V390" i="4"/>
  <c r="E478" i="4"/>
  <c r="F466" i="4"/>
  <c r="F465" i="4" s="1"/>
  <c r="C11" i="2"/>
  <c r="D137" i="2"/>
  <c r="C137" i="2" s="1"/>
  <c r="E298" i="4"/>
  <c r="E297" i="4" s="1"/>
  <c r="V299" i="4"/>
  <c r="V298" i="4" s="1"/>
  <c r="V297" i="4" s="1"/>
  <c r="M224" i="8"/>
  <c r="M222" i="8" s="1"/>
  <c r="M221" i="8" s="1"/>
  <c r="L221" i="8" s="1"/>
  <c r="K521" i="4"/>
  <c r="F521" i="4"/>
  <c r="M105" i="8"/>
  <c r="J130" i="1"/>
  <c r="D84" i="6" l="1"/>
  <c r="E466" i="4"/>
  <c r="E465" i="4" s="1"/>
  <c r="V465" i="4" s="1"/>
  <c r="V478" i="4"/>
  <c r="V466" i="4" s="1"/>
  <c r="F513" i="4"/>
  <c r="E503" i="4"/>
  <c r="V503" i="4" s="1"/>
  <c r="V504" i="4"/>
  <c r="L42" i="8"/>
  <c r="M41" i="8"/>
  <c r="V429" i="4"/>
  <c r="V422" i="4"/>
  <c r="E404" i="4"/>
  <c r="E524" i="4"/>
  <c r="E521" i="4" s="1"/>
  <c r="E551" i="4" s="1"/>
  <c r="V15" i="4"/>
  <c r="V524" i="4" s="1"/>
  <c r="E13" i="4"/>
  <c r="V302" i="4"/>
  <c r="M301" i="4"/>
  <c r="V301" i="4" s="1"/>
  <c r="E530" i="4"/>
  <c r="V105" i="4"/>
  <c r="V530" i="4" s="1"/>
  <c r="E526" i="4"/>
  <c r="V203" i="4"/>
  <c r="V526" i="4" s="1"/>
  <c r="E198" i="4"/>
  <c r="M513" i="4"/>
  <c r="D194" i="2"/>
  <c r="C194" i="2" s="1"/>
  <c r="M271" i="8"/>
  <c r="L272" i="8"/>
  <c r="L271" i="8" s="1"/>
  <c r="V523" i="4"/>
  <c r="V521" i="4" s="1"/>
  <c r="E359" i="4"/>
  <c r="V359" i="4" s="1"/>
  <c r="V360" i="4"/>
  <c r="N20" i="5"/>
  <c r="N38" i="5"/>
  <c r="E525" i="4"/>
  <c r="E144" i="4"/>
  <c r="V146" i="4"/>
  <c r="V525" i="4" s="1"/>
  <c r="E491" i="4"/>
  <c r="V491" i="4" s="1"/>
  <c r="V492" i="4"/>
  <c r="M104" i="8"/>
  <c r="L104" i="8" s="1"/>
  <c r="L105" i="8"/>
  <c r="E528" i="4"/>
  <c r="V98" i="4"/>
  <c r="V528" i="4" s="1"/>
  <c r="E548" i="4"/>
  <c r="E550" i="4"/>
  <c r="F164" i="1"/>
  <c r="L41" i="8" l="1"/>
  <c r="M12" i="8"/>
  <c r="E143" i="4"/>
  <c r="V143" i="4" s="1"/>
  <c r="V144" i="4"/>
  <c r="E403" i="4"/>
  <c r="V403" i="4" s="1"/>
  <c r="V404" i="4"/>
  <c r="E513" i="4"/>
  <c r="V513" i="4"/>
  <c r="E12" i="4"/>
  <c r="V12" i="4" s="1"/>
  <c r="V13" i="4"/>
  <c r="E197" i="4"/>
  <c r="V197" i="4" s="1"/>
  <c r="V198" i="4"/>
  <c r="D85" i="6"/>
  <c r="D102" i="6"/>
  <c r="D101" i="6" s="1"/>
  <c r="D108" i="6" s="1"/>
  <c r="N549" i="1"/>
  <c r="I549" i="1"/>
  <c r="E549" i="1"/>
  <c r="D549" i="1"/>
  <c r="C549" i="1"/>
  <c r="I548" i="1"/>
  <c r="H548" i="1"/>
  <c r="E548" i="1"/>
  <c r="D548" i="1"/>
  <c r="C548" i="1"/>
  <c r="N547" i="1"/>
  <c r="N546" i="1"/>
  <c r="I546" i="1"/>
  <c r="L546" i="1" s="1"/>
  <c r="H546" i="1"/>
  <c r="K546" i="1" s="1"/>
  <c r="D546" i="1"/>
  <c r="N545" i="1"/>
  <c r="L545" i="1"/>
  <c r="H545" i="1"/>
  <c r="D545" i="1"/>
  <c r="C545" i="1"/>
  <c r="K545" i="1" s="1"/>
  <c r="N544" i="1"/>
  <c r="G544" i="1"/>
  <c r="F544" i="1"/>
  <c r="N543" i="1"/>
  <c r="I543" i="1"/>
  <c r="H543" i="1"/>
  <c r="E543" i="1"/>
  <c r="L543" i="1" s="1"/>
  <c r="D543" i="1"/>
  <c r="C543" i="1"/>
  <c r="N542" i="1"/>
  <c r="I542" i="1"/>
  <c r="I541" i="1" s="1"/>
  <c r="H542" i="1"/>
  <c r="E542" i="1"/>
  <c r="D542" i="1"/>
  <c r="D541" i="1" s="1"/>
  <c r="C542" i="1"/>
  <c r="C541" i="1" s="1"/>
  <c r="N541" i="1"/>
  <c r="H541" i="1"/>
  <c r="N540" i="1"/>
  <c r="I539" i="1"/>
  <c r="L539" i="1" s="1"/>
  <c r="H539" i="1"/>
  <c r="L537" i="1"/>
  <c r="K537" i="1"/>
  <c r="J537" i="1"/>
  <c r="L536" i="1"/>
  <c r="K536" i="1"/>
  <c r="I536" i="1"/>
  <c r="H536" i="1"/>
  <c r="J535" i="1"/>
  <c r="J534" i="1"/>
  <c r="J533" i="1"/>
  <c r="L530" i="1"/>
  <c r="K530" i="1"/>
  <c r="L529" i="1"/>
  <c r="K529" i="1"/>
  <c r="I528" i="1"/>
  <c r="L528" i="1" s="1"/>
  <c r="H528" i="1"/>
  <c r="K528" i="1" s="1"/>
  <c r="L527" i="1"/>
  <c r="N526" i="1"/>
  <c r="L526" i="1"/>
  <c r="H526" i="1"/>
  <c r="N524" i="1"/>
  <c r="M524" i="1"/>
  <c r="M521" i="1" s="1"/>
  <c r="L524" i="1"/>
  <c r="K524" i="1"/>
  <c r="J524" i="1"/>
  <c r="J521" i="1" s="1"/>
  <c r="I547" i="1"/>
  <c r="H524" i="1"/>
  <c r="H547" i="1" s="1"/>
  <c r="G524" i="1"/>
  <c r="G547" i="1" s="1"/>
  <c r="F524" i="1"/>
  <c r="F547" i="1" s="1"/>
  <c r="E524" i="1"/>
  <c r="D524" i="1"/>
  <c r="D547" i="1" s="1"/>
  <c r="C524" i="1"/>
  <c r="C547" i="1" s="1"/>
  <c r="N523" i="1"/>
  <c r="L523" i="1"/>
  <c r="K523" i="1"/>
  <c r="N522" i="1"/>
  <c r="L522" i="1"/>
  <c r="K522" i="1"/>
  <c r="I521" i="1"/>
  <c r="G521" i="1"/>
  <c r="E521" i="1"/>
  <c r="D521" i="1"/>
  <c r="C521" i="1"/>
  <c r="N520" i="1"/>
  <c r="L520" i="1"/>
  <c r="K520" i="1"/>
  <c r="N519" i="1"/>
  <c r="L519" i="1"/>
  <c r="K519" i="1"/>
  <c r="N518" i="1"/>
  <c r="I518" i="1"/>
  <c r="H518" i="1"/>
  <c r="E518" i="1"/>
  <c r="L518" i="1" s="1"/>
  <c r="D518" i="1"/>
  <c r="C518" i="1"/>
  <c r="N517" i="1"/>
  <c r="L517" i="1"/>
  <c r="K517" i="1"/>
  <c r="N516" i="1"/>
  <c r="L516" i="1"/>
  <c r="K516" i="1"/>
  <c r="N515" i="1"/>
  <c r="L515" i="1"/>
  <c r="K515" i="1"/>
  <c r="N514" i="1"/>
  <c r="I514" i="1"/>
  <c r="H514" i="1"/>
  <c r="E514" i="1"/>
  <c r="C514" i="1"/>
  <c r="K514" i="1" s="1"/>
  <c r="N513" i="1"/>
  <c r="L513" i="1"/>
  <c r="K513" i="1"/>
  <c r="J513" i="1"/>
  <c r="N512" i="1"/>
  <c r="L512" i="1"/>
  <c r="K512" i="1"/>
  <c r="J512" i="1"/>
  <c r="N511" i="1"/>
  <c r="L511" i="1"/>
  <c r="K511" i="1"/>
  <c r="I511" i="1"/>
  <c r="H511" i="1"/>
  <c r="N510" i="1"/>
  <c r="L510" i="1"/>
  <c r="K510" i="1"/>
  <c r="J510" i="1"/>
  <c r="N509" i="1"/>
  <c r="L509" i="1"/>
  <c r="K509" i="1"/>
  <c r="J509" i="1"/>
  <c r="N508" i="1"/>
  <c r="L508" i="1"/>
  <c r="K508" i="1"/>
  <c r="J508" i="1"/>
  <c r="E508" i="1"/>
  <c r="D508" i="1"/>
  <c r="C508" i="1"/>
  <c r="N507" i="1"/>
  <c r="L507" i="1"/>
  <c r="K507" i="1"/>
  <c r="J507" i="1"/>
  <c r="N506" i="1"/>
  <c r="L506" i="1"/>
  <c r="K506" i="1"/>
  <c r="J506" i="1"/>
  <c r="N505" i="1"/>
  <c r="L505" i="1"/>
  <c r="K505" i="1"/>
  <c r="I505" i="1"/>
  <c r="I504" i="1" s="1"/>
  <c r="H505" i="1"/>
  <c r="H504" i="1" s="1"/>
  <c r="J504" i="1" s="1"/>
  <c r="D505" i="1"/>
  <c r="C505" i="1"/>
  <c r="C504" i="1" s="1"/>
  <c r="N504" i="1"/>
  <c r="L504" i="1"/>
  <c r="K504" i="1"/>
  <c r="E504" i="1"/>
  <c r="D504" i="1"/>
  <c r="N503" i="1"/>
  <c r="N502" i="1"/>
  <c r="N501" i="1"/>
  <c r="N500" i="1"/>
  <c r="N499" i="1"/>
  <c r="I499" i="1"/>
  <c r="H499" i="1"/>
  <c r="K499" i="1" s="1"/>
  <c r="G499" i="1"/>
  <c r="N498" i="1"/>
  <c r="I498" i="1"/>
  <c r="H498" i="1"/>
  <c r="H500" i="1" s="1"/>
  <c r="E498" i="1"/>
  <c r="E497" i="1" s="1"/>
  <c r="D498" i="1"/>
  <c r="C498" i="1"/>
  <c r="N497" i="1"/>
  <c r="H497" i="1"/>
  <c r="N496" i="1"/>
  <c r="M496" i="1"/>
  <c r="J496" i="1"/>
  <c r="G496" i="1"/>
  <c r="N495" i="1"/>
  <c r="I495" i="1"/>
  <c r="E495" i="1"/>
  <c r="D495" i="1"/>
  <c r="C495" i="1"/>
  <c r="L494" i="1"/>
  <c r="K494" i="1"/>
  <c r="J494" i="1"/>
  <c r="G494" i="1"/>
  <c r="L493" i="1"/>
  <c r="K493" i="1"/>
  <c r="J493" i="1"/>
  <c r="G493" i="1"/>
  <c r="L492" i="1"/>
  <c r="H492" i="1"/>
  <c r="G492" i="1"/>
  <c r="L491" i="1"/>
  <c r="K491" i="1"/>
  <c r="J491" i="1"/>
  <c r="G491" i="1"/>
  <c r="L490" i="1"/>
  <c r="K490" i="1"/>
  <c r="J490" i="1"/>
  <c r="G490" i="1"/>
  <c r="J489" i="1"/>
  <c r="E489" i="1"/>
  <c r="L489" i="1" s="1"/>
  <c r="D489" i="1"/>
  <c r="C489" i="1"/>
  <c r="C485" i="1" s="1"/>
  <c r="L488" i="1"/>
  <c r="K488" i="1"/>
  <c r="J488" i="1"/>
  <c r="G488" i="1"/>
  <c r="N487" i="1"/>
  <c r="L487" i="1"/>
  <c r="K487" i="1"/>
  <c r="J487" i="1"/>
  <c r="G487" i="1"/>
  <c r="N486" i="1"/>
  <c r="L486" i="1"/>
  <c r="K486" i="1"/>
  <c r="J486" i="1"/>
  <c r="G486" i="1"/>
  <c r="F486" i="1"/>
  <c r="I485" i="1"/>
  <c r="H485" i="1"/>
  <c r="E485" i="1"/>
  <c r="D485" i="1"/>
  <c r="I484" i="1"/>
  <c r="E484" i="1"/>
  <c r="D484" i="1"/>
  <c r="C484" i="1"/>
  <c r="L483" i="1"/>
  <c r="K483" i="1"/>
  <c r="J483" i="1"/>
  <c r="G483" i="1"/>
  <c r="L482" i="1"/>
  <c r="K482" i="1"/>
  <c r="J482" i="1"/>
  <c r="G482" i="1"/>
  <c r="I481" i="1"/>
  <c r="L481" i="1" s="1"/>
  <c r="H481" i="1"/>
  <c r="K481" i="1" s="1"/>
  <c r="G481" i="1"/>
  <c r="M480" i="1"/>
  <c r="J480" i="1"/>
  <c r="G480" i="1"/>
  <c r="N478" i="1"/>
  <c r="N477" i="1"/>
  <c r="L477" i="1"/>
  <c r="K477" i="1"/>
  <c r="J477" i="1"/>
  <c r="G477" i="1"/>
  <c r="N476" i="1"/>
  <c r="L476" i="1"/>
  <c r="J476" i="1"/>
  <c r="G476" i="1"/>
  <c r="C476" i="1"/>
  <c r="K476" i="1" s="1"/>
  <c r="N475" i="1"/>
  <c r="L475" i="1"/>
  <c r="K475" i="1"/>
  <c r="J475" i="1"/>
  <c r="G475" i="1"/>
  <c r="N474" i="1"/>
  <c r="L474" i="1"/>
  <c r="K474" i="1"/>
  <c r="J474" i="1"/>
  <c r="G474" i="1"/>
  <c r="N473" i="1"/>
  <c r="I473" i="1"/>
  <c r="H473" i="1"/>
  <c r="K473" i="1" s="1"/>
  <c r="G473" i="1"/>
  <c r="N472" i="1"/>
  <c r="L472" i="1"/>
  <c r="K472" i="1"/>
  <c r="J472" i="1"/>
  <c r="G472" i="1"/>
  <c r="N471" i="1"/>
  <c r="E471" i="1"/>
  <c r="D471" i="1"/>
  <c r="N470" i="1"/>
  <c r="L470" i="1"/>
  <c r="K470" i="1"/>
  <c r="J470" i="1"/>
  <c r="G470" i="1"/>
  <c r="N469" i="1"/>
  <c r="L469" i="1"/>
  <c r="K469" i="1"/>
  <c r="J469" i="1"/>
  <c r="G469" i="1"/>
  <c r="L468" i="1"/>
  <c r="K468" i="1"/>
  <c r="J468" i="1"/>
  <c r="G468" i="1"/>
  <c r="N467" i="1"/>
  <c r="J467" i="1"/>
  <c r="E467" i="1"/>
  <c r="L467" i="1" s="1"/>
  <c r="D467" i="1"/>
  <c r="C467" i="1"/>
  <c r="K467" i="1" s="1"/>
  <c r="N466" i="1"/>
  <c r="L466" i="1"/>
  <c r="K466" i="1"/>
  <c r="J466" i="1"/>
  <c r="G466" i="1"/>
  <c r="N465" i="1"/>
  <c r="L465" i="1"/>
  <c r="K465" i="1"/>
  <c r="J465" i="1"/>
  <c r="G465" i="1"/>
  <c r="N464" i="1"/>
  <c r="J464" i="1"/>
  <c r="E464" i="1"/>
  <c r="D464" i="1"/>
  <c r="C464" i="1"/>
  <c r="K464" i="1" s="1"/>
  <c r="N463" i="1"/>
  <c r="L463" i="1"/>
  <c r="K463" i="1"/>
  <c r="J463" i="1"/>
  <c r="G463" i="1"/>
  <c r="M462" i="1"/>
  <c r="J462" i="1"/>
  <c r="G462" i="1"/>
  <c r="N461" i="1"/>
  <c r="L461" i="1"/>
  <c r="K461" i="1"/>
  <c r="J461" i="1"/>
  <c r="G461" i="1"/>
  <c r="N460" i="1"/>
  <c r="L460" i="1"/>
  <c r="K460" i="1"/>
  <c r="J460" i="1"/>
  <c r="G460" i="1"/>
  <c r="N459" i="1"/>
  <c r="L459" i="1"/>
  <c r="K459" i="1"/>
  <c r="J459" i="1"/>
  <c r="E459" i="1"/>
  <c r="D459" i="1"/>
  <c r="C459" i="1"/>
  <c r="N458" i="1"/>
  <c r="L458" i="1"/>
  <c r="K458" i="1"/>
  <c r="J458" i="1"/>
  <c r="G458" i="1"/>
  <c r="N457" i="1"/>
  <c r="I457" i="1"/>
  <c r="H457" i="1"/>
  <c r="N456" i="1"/>
  <c r="N455" i="1"/>
  <c r="L455" i="1"/>
  <c r="K455" i="1"/>
  <c r="J455" i="1"/>
  <c r="G455" i="1"/>
  <c r="F455" i="1"/>
  <c r="N454" i="1"/>
  <c r="L454" i="1"/>
  <c r="K454" i="1"/>
  <c r="J454" i="1"/>
  <c r="G454" i="1"/>
  <c r="F454" i="1"/>
  <c r="N453" i="1"/>
  <c r="L453" i="1"/>
  <c r="K453" i="1"/>
  <c r="J453" i="1"/>
  <c r="G453" i="1"/>
  <c r="F453" i="1"/>
  <c r="N452" i="1"/>
  <c r="L452" i="1"/>
  <c r="K452" i="1"/>
  <c r="J452" i="1"/>
  <c r="G452" i="1"/>
  <c r="F452" i="1"/>
  <c r="N451" i="1"/>
  <c r="I451" i="1"/>
  <c r="H451" i="1"/>
  <c r="E451" i="1"/>
  <c r="D451" i="1"/>
  <c r="C451" i="1"/>
  <c r="N450" i="1"/>
  <c r="L450" i="1"/>
  <c r="K450" i="1"/>
  <c r="J450" i="1"/>
  <c r="G450" i="1"/>
  <c r="F450" i="1"/>
  <c r="N449" i="1"/>
  <c r="L449" i="1"/>
  <c r="K449" i="1"/>
  <c r="J449" i="1"/>
  <c r="G449" i="1"/>
  <c r="F449" i="1"/>
  <c r="N448" i="1"/>
  <c r="I448" i="1"/>
  <c r="H448" i="1"/>
  <c r="E448" i="1"/>
  <c r="L448" i="1" s="1"/>
  <c r="D448" i="1"/>
  <c r="C448" i="1"/>
  <c r="L447" i="1"/>
  <c r="K447" i="1"/>
  <c r="J447" i="1"/>
  <c r="G447" i="1"/>
  <c r="F447" i="1"/>
  <c r="N446" i="1"/>
  <c r="J446" i="1"/>
  <c r="E446" i="1"/>
  <c r="L446" i="1" s="1"/>
  <c r="D446" i="1"/>
  <c r="C446" i="1"/>
  <c r="K446" i="1" s="1"/>
  <c r="N445" i="1"/>
  <c r="L445" i="1"/>
  <c r="K445" i="1"/>
  <c r="J445" i="1"/>
  <c r="G445" i="1"/>
  <c r="F445" i="1"/>
  <c r="N444" i="1"/>
  <c r="L444" i="1"/>
  <c r="K444" i="1"/>
  <c r="J444" i="1"/>
  <c r="G444" i="1"/>
  <c r="N443" i="1"/>
  <c r="L443" i="1"/>
  <c r="K443" i="1"/>
  <c r="J443" i="1"/>
  <c r="G443" i="1"/>
  <c r="F443" i="1"/>
  <c r="L442" i="1"/>
  <c r="K442" i="1"/>
  <c r="J442" i="1"/>
  <c r="G442" i="1"/>
  <c r="F442" i="1"/>
  <c r="N441" i="1"/>
  <c r="L441" i="1"/>
  <c r="K441" i="1"/>
  <c r="J441" i="1"/>
  <c r="G441" i="1"/>
  <c r="F441" i="1"/>
  <c r="N440" i="1"/>
  <c r="L440" i="1"/>
  <c r="K440" i="1"/>
  <c r="J440" i="1"/>
  <c r="G440" i="1"/>
  <c r="F440" i="1"/>
  <c r="N439" i="1"/>
  <c r="L439" i="1"/>
  <c r="K439" i="1"/>
  <c r="J439" i="1"/>
  <c r="G439" i="1"/>
  <c r="F439" i="1"/>
  <c r="N438" i="1"/>
  <c r="L438" i="1"/>
  <c r="K438" i="1"/>
  <c r="J438" i="1"/>
  <c r="G438" i="1"/>
  <c r="F438" i="1"/>
  <c r="N437" i="1"/>
  <c r="L437" i="1"/>
  <c r="K437" i="1"/>
  <c r="J437" i="1"/>
  <c r="G437" i="1"/>
  <c r="F437" i="1"/>
  <c r="N436" i="1"/>
  <c r="L436" i="1"/>
  <c r="K436" i="1"/>
  <c r="J436" i="1"/>
  <c r="G436" i="1"/>
  <c r="N435" i="1"/>
  <c r="L435" i="1"/>
  <c r="K435" i="1"/>
  <c r="J435" i="1"/>
  <c r="G435" i="1"/>
  <c r="F435" i="1"/>
  <c r="N434" i="1"/>
  <c r="L434" i="1"/>
  <c r="K434" i="1"/>
  <c r="J434" i="1"/>
  <c r="G434" i="1"/>
  <c r="F434" i="1"/>
  <c r="N433" i="1"/>
  <c r="L433" i="1"/>
  <c r="K433" i="1"/>
  <c r="J433" i="1"/>
  <c r="G433" i="1"/>
  <c r="F433" i="1"/>
  <c r="N432" i="1"/>
  <c r="L432" i="1"/>
  <c r="K432" i="1"/>
  <c r="J432" i="1"/>
  <c r="G432" i="1"/>
  <c r="F432" i="1"/>
  <c r="N431" i="1"/>
  <c r="L431" i="1"/>
  <c r="K431" i="1"/>
  <c r="J431" i="1"/>
  <c r="G431" i="1"/>
  <c r="F431" i="1"/>
  <c r="N430" i="1"/>
  <c r="L430" i="1"/>
  <c r="K430" i="1"/>
  <c r="J430" i="1"/>
  <c r="G430" i="1"/>
  <c r="F430" i="1"/>
  <c r="N429" i="1"/>
  <c r="I429" i="1"/>
  <c r="H429" i="1"/>
  <c r="E429" i="1"/>
  <c r="D429" i="1"/>
  <c r="C429" i="1"/>
  <c r="N428" i="1"/>
  <c r="L428" i="1"/>
  <c r="K428" i="1"/>
  <c r="J428" i="1"/>
  <c r="G428" i="1"/>
  <c r="F428" i="1"/>
  <c r="N427" i="1"/>
  <c r="L427" i="1"/>
  <c r="K427" i="1"/>
  <c r="J427" i="1"/>
  <c r="G427" i="1"/>
  <c r="F427" i="1"/>
  <c r="N426" i="1"/>
  <c r="L426" i="1"/>
  <c r="K426" i="1"/>
  <c r="K425" i="1" s="1"/>
  <c r="J426" i="1"/>
  <c r="G426" i="1"/>
  <c r="F426" i="1"/>
  <c r="N425" i="1"/>
  <c r="I425" i="1"/>
  <c r="H425" i="1"/>
  <c r="E425" i="1"/>
  <c r="D425" i="1"/>
  <c r="C425" i="1"/>
  <c r="N424" i="1"/>
  <c r="L423" i="1"/>
  <c r="M423" i="1" s="1"/>
  <c r="J423" i="1"/>
  <c r="G423" i="1"/>
  <c r="L421" i="1"/>
  <c r="K421" i="1"/>
  <c r="J421" i="1"/>
  <c r="G421" i="1"/>
  <c r="L420" i="1"/>
  <c r="K420" i="1"/>
  <c r="J420" i="1"/>
  <c r="G420" i="1"/>
  <c r="L419" i="1"/>
  <c r="K419" i="1"/>
  <c r="J419" i="1"/>
  <c r="G419" i="1"/>
  <c r="F419" i="1"/>
  <c r="M418" i="1"/>
  <c r="J418" i="1"/>
  <c r="G418" i="1"/>
  <c r="F418" i="1"/>
  <c r="N417" i="1"/>
  <c r="L417" i="1"/>
  <c r="K417" i="1"/>
  <c r="J417" i="1"/>
  <c r="G417" i="1"/>
  <c r="F417" i="1"/>
  <c r="N416" i="1"/>
  <c r="L416" i="1"/>
  <c r="K416" i="1"/>
  <c r="J416" i="1"/>
  <c r="G416" i="1"/>
  <c r="F416" i="1"/>
  <c r="N415" i="1"/>
  <c r="L415" i="1"/>
  <c r="K415" i="1"/>
  <c r="J415" i="1"/>
  <c r="G415" i="1"/>
  <c r="F415" i="1"/>
  <c r="N414" i="1"/>
  <c r="L414" i="1"/>
  <c r="K414" i="1"/>
  <c r="J414" i="1"/>
  <c r="G414" i="1"/>
  <c r="F414" i="1"/>
  <c r="N413" i="1"/>
  <c r="L413" i="1"/>
  <c r="K413" i="1"/>
  <c r="J413" i="1"/>
  <c r="G413" i="1"/>
  <c r="F413" i="1"/>
  <c r="N412" i="1"/>
  <c r="L412" i="1"/>
  <c r="K412" i="1"/>
  <c r="J412" i="1"/>
  <c r="G412" i="1"/>
  <c r="F412" i="1"/>
  <c r="L411" i="1"/>
  <c r="K411" i="1"/>
  <c r="J411" i="1"/>
  <c r="G411" i="1"/>
  <c r="F411" i="1"/>
  <c r="L410" i="1"/>
  <c r="K410" i="1"/>
  <c r="J410" i="1"/>
  <c r="G410" i="1"/>
  <c r="F410" i="1"/>
  <c r="N409" i="1"/>
  <c r="L409" i="1"/>
  <c r="K409" i="1"/>
  <c r="J409" i="1"/>
  <c r="G409" i="1"/>
  <c r="F409" i="1"/>
  <c r="N408" i="1"/>
  <c r="L408" i="1"/>
  <c r="K408" i="1"/>
  <c r="J408" i="1"/>
  <c r="G408" i="1"/>
  <c r="F408" i="1"/>
  <c r="N407" i="1"/>
  <c r="L407" i="1"/>
  <c r="K407" i="1"/>
  <c r="J407" i="1"/>
  <c r="G407" i="1"/>
  <c r="F407" i="1"/>
  <c r="N406" i="1"/>
  <c r="L406" i="1"/>
  <c r="K406" i="1"/>
  <c r="J406" i="1"/>
  <c r="G406" i="1"/>
  <c r="F406" i="1"/>
  <c r="N405" i="1"/>
  <c r="L404" i="1"/>
  <c r="K404" i="1"/>
  <c r="J404" i="1"/>
  <c r="G404" i="1"/>
  <c r="F404" i="1"/>
  <c r="L403" i="1"/>
  <c r="K403" i="1"/>
  <c r="J403" i="1"/>
  <c r="G403" i="1"/>
  <c r="F403" i="1"/>
  <c r="L402" i="1"/>
  <c r="K402" i="1"/>
  <c r="J402" i="1"/>
  <c r="G402" i="1"/>
  <c r="F402" i="1"/>
  <c r="I401" i="1"/>
  <c r="H401" i="1"/>
  <c r="E401" i="1"/>
  <c r="D401" i="1"/>
  <c r="C401" i="1"/>
  <c r="L400" i="1"/>
  <c r="M400" i="1" s="1"/>
  <c r="K400" i="1"/>
  <c r="J400" i="1"/>
  <c r="G400" i="1"/>
  <c r="F400" i="1"/>
  <c r="L399" i="1"/>
  <c r="K399" i="1"/>
  <c r="M399" i="1" s="1"/>
  <c r="J399" i="1"/>
  <c r="G399" i="1"/>
  <c r="F399" i="1"/>
  <c r="L398" i="1"/>
  <c r="K398" i="1"/>
  <c r="J398" i="1"/>
  <c r="G398" i="1"/>
  <c r="F398" i="1"/>
  <c r="L397" i="1"/>
  <c r="K397" i="1"/>
  <c r="J397" i="1"/>
  <c r="G397" i="1"/>
  <c r="F397" i="1"/>
  <c r="L396" i="1"/>
  <c r="M396" i="1" s="1"/>
  <c r="K396" i="1"/>
  <c r="I396" i="1"/>
  <c r="H396" i="1"/>
  <c r="E396" i="1"/>
  <c r="D396" i="1"/>
  <c r="C396" i="1"/>
  <c r="L395" i="1"/>
  <c r="K395" i="1"/>
  <c r="J395" i="1"/>
  <c r="G395" i="1"/>
  <c r="F395" i="1"/>
  <c r="L394" i="1"/>
  <c r="K394" i="1"/>
  <c r="J394" i="1"/>
  <c r="G394" i="1"/>
  <c r="F394" i="1"/>
  <c r="L393" i="1"/>
  <c r="K393" i="1"/>
  <c r="J393" i="1"/>
  <c r="G393" i="1"/>
  <c r="F393" i="1"/>
  <c r="L392" i="1"/>
  <c r="K392" i="1"/>
  <c r="J392" i="1"/>
  <c r="G392" i="1"/>
  <c r="F392" i="1"/>
  <c r="L391" i="1"/>
  <c r="M391" i="1" s="1"/>
  <c r="K391" i="1"/>
  <c r="J391" i="1"/>
  <c r="G391" i="1"/>
  <c r="F391" i="1"/>
  <c r="L390" i="1"/>
  <c r="K390" i="1"/>
  <c r="J390" i="1"/>
  <c r="G390" i="1"/>
  <c r="F390" i="1"/>
  <c r="L389" i="1"/>
  <c r="K389" i="1"/>
  <c r="J389" i="1"/>
  <c r="G389" i="1"/>
  <c r="F389" i="1"/>
  <c r="L388" i="1"/>
  <c r="K388" i="1"/>
  <c r="I388" i="1"/>
  <c r="H388" i="1"/>
  <c r="H387" i="1" s="1"/>
  <c r="F388" i="1"/>
  <c r="D388" i="1"/>
  <c r="L387" i="1"/>
  <c r="K387" i="1"/>
  <c r="M387" i="1" s="1"/>
  <c r="I387" i="1"/>
  <c r="E387" i="1"/>
  <c r="D387" i="1"/>
  <c r="C387" i="1"/>
  <c r="M386" i="1"/>
  <c r="J386" i="1"/>
  <c r="G386" i="1"/>
  <c r="F386" i="1"/>
  <c r="L385" i="1"/>
  <c r="K385" i="1"/>
  <c r="J385" i="1"/>
  <c r="G385" i="1"/>
  <c r="F385" i="1"/>
  <c r="L384" i="1"/>
  <c r="K384" i="1"/>
  <c r="J384" i="1"/>
  <c r="G384" i="1"/>
  <c r="F384" i="1"/>
  <c r="L383" i="1"/>
  <c r="K383" i="1"/>
  <c r="J383" i="1"/>
  <c r="G383" i="1"/>
  <c r="F383" i="1"/>
  <c r="L382" i="1"/>
  <c r="K382" i="1"/>
  <c r="J382" i="1"/>
  <c r="G382" i="1"/>
  <c r="F382" i="1"/>
  <c r="N381" i="1"/>
  <c r="L381" i="1"/>
  <c r="K381" i="1"/>
  <c r="I381" i="1"/>
  <c r="H381" i="1"/>
  <c r="E381" i="1"/>
  <c r="D381" i="1"/>
  <c r="C381" i="1"/>
  <c r="N380" i="1"/>
  <c r="L380" i="1"/>
  <c r="K380" i="1"/>
  <c r="J380" i="1"/>
  <c r="G380" i="1"/>
  <c r="F380" i="1"/>
  <c r="N379" i="1"/>
  <c r="L379" i="1"/>
  <c r="K379" i="1"/>
  <c r="J379" i="1"/>
  <c r="G379" i="1"/>
  <c r="F379" i="1"/>
  <c r="N378" i="1"/>
  <c r="L378" i="1"/>
  <c r="K378" i="1"/>
  <c r="J378" i="1"/>
  <c r="G378" i="1"/>
  <c r="F378" i="1"/>
  <c r="N377" i="1"/>
  <c r="L377" i="1"/>
  <c r="K377" i="1"/>
  <c r="I377" i="1"/>
  <c r="H377" i="1"/>
  <c r="E377" i="1"/>
  <c r="D377" i="1"/>
  <c r="C377" i="1"/>
  <c r="N376" i="1"/>
  <c r="L376" i="1"/>
  <c r="K376" i="1"/>
  <c r="J376" i="1"/>
  <c r="G376" i="1"/>
  <c r="F376" i="1"/>
  <c r="N375" i="1"/>
  <c r="L375" i="1"/>
  <c r="K375" i="1"/>
  <c r="J375" i="1"/>
  <c r="G375" i="1"/>
  <c r="F375" i="1"/>
  <c r="N374" i="1"/>
  <c r="L374" i="1"/>
  <c r="K374" i="1"/>
  <c r="J374" i="1"/>
  <c r="G374" i="1"/>
  <c r="F374" i="1"/>
  <c r="N373" i="1"/>
  <c r="L373" i="1"/>
  <c r="K373" i="1"/>
  <c r="I373" i="1"/>
  <c r="H373" i="1"/>
  <c r="E373" i="1"/>
  <c r="D373" i="1"/>
  <c r="C373" i="1"/>
  <c r="N372" i="1"/>
  <c r="L372" i="1"/>
  <c r="K372" i="1"/>
  <c r="J372" i="1"/>
  <c r="G372" i="1"/>
  <c r="F372" i="1"/>
  <c r="N371" i="1"/>
  <c r="L371" i="1"/>
  <c r="K371" i="1"/>
  <c r="J371" i="1"/>
  <c r="G371" i="1"/>
  <c r="F371" i="1"/>
  <c r="N370" i="1"/>
  <c r="L370" i="1"/>
  <c r="K370" i="1"/>
  <c r="J370" i="1"/>
  <c r="G370" i="1"/>
  <c r="F370" i="1"/>
  <c r="N369" i="1"/>
  <c r="L369" i="1"/>
  <c r="K369" i="1"/>
  <c r="I369" i="1"/>
  <c r="H369" i="1"/>
  <c r="E369" i="1"/>
  <c r="D369" i="1"/>
  <c r="C369" i="1"/>
  <c r="N368" i="1"/>
  <c r="L368" i="1"/>
  <c r="K368" i="1"/>
  <c r="J368" i="1"/>
  <c r="G368" i="1"/>
  <c r="F368" i="1"/>
  <c r="N367" i="1"/>
  <c r="L367" i="1"/>
  <c r="K367" i="1"/>
  <c r="J367" i="1"/>
  <c r="G367" i="1"/>
  <c r="F367" i="1"/>
  <c r="N366" i="1"/>
  <c r="L366" i="1"/>
  <c r="K366" i="1"/>
  <c r="I366" i="1"/>
  <c r="H366" i="1"/>
  <c r="E366" i="1"/>
  <c r="C366" i="1"/>
  <c r="N365" i="1"/>
  <c r="L365" i="1"/>
  <c r="K365" i="1"/>
  <c r="J365" i="1"/>
  <c r="G365" i="1"/>
  <c r="F365" i="1"/>
  <c r="N364" i="1"/>
  <c r="L364" i="1"/>
  <c r="K364" i="1"/>
  <c r="J364" i="1"/>
  <c r="G364" i="1"/>
  <c r="F364" i="1"/>
  <c r="N363" i="1"/>
  <c r="L363" i="1"/>
  <c r="K363" i="1"/>
  <c r="J363" i="1"/>
  <c r="G363" i="1"/>
  <c r="F363" i="1"/>
  <c r="N362" i="1"/>
  <c r="L362" i="1"/>
  <c r="K362" i="1"/>
  <c r="I362" i="1"/>
  <c r="H362" i="1"/>
  <c r="E362" i="1"/>
  <c r="C362" i="1"/>
  <c r="N361" i="1"/>
  <c r="L361" i="1"/>
  <c r="K361" i="1"/>
  <c r="J361" i="1"/>
  <c r="G361" i="1"/>
  <c r="F361" i="1"/>
  <c r="N360" i="1"/>
  <c r="L360" i="1"/>
  <c r="K360" i="1"/>
  <c r="I360" i="1"/>
  <c r="H360" i="1"/>
  <c r="E360" i="1"/>
  <c r="C360" i="1"/>
  <c r="N359" i="1"/>
  <c r="L359" i="1"/>
  <c r="K359" i="1"/>
  <c r="J359" i="1"/>
  <c r="G359" i="1"/>
  <c r="F359" i="1"/>
  <c r="N358" i="1"/>
  <c r="L358" i="1"/>
  <c r="K358" i="1"/>
  <c r="J358" i="1"/>
  <c r="G358" i="1"/>
  <c r="F358" i="1"/>
  <c r="N357" i="1"/>
  <c r="L357" i="1"/>
  <c r="K357" i="1"/>
  <c r="J357" i="1"/>
  <c r="G357" i="1"/>
  <c r="F357" i="1"/>
  <c r="N356" i="1"/>
  <c r="L356" i="1"/>
  <c r="K356" i="1"/>
  <c r="L355" i="1"/>
  <c r="K355" i="1"/>
  <c r="J355" i="1"/>
  <c r="G355" i="1"/>
  <c r="F355" i="1"/>
  <c r="L354" i="1"/>
  <c r="K354" i="1"/>
  <c r="J354" i="1"/>
  <c r="G354" i="1"/>
  <c r="F354" i="1"/>
  <c r="N353" i="1"/>
  <c r="L353" i="1"/>
  <c r="K353" i="1"/>
  <c r="J353" i="1"/>
  <c r="G353" i="1"/>
  <c r="F353" i="1"/>
  <c r="N352" i="1"/>
  <c r="L352" i="1"/>
  <c r="K352" i="1"/>
  <c r="J352" i="1"/>
  <c r="G352" i="1"/>
  <c r="F352" i="1"/>
  <c r="N351" i="1"/>
  <c r="L351" i="1"/>
  <c r="K351" i="1"/>
  <c r="J351" i="1"/>
  <c r="G351" i="1"/>
  <c r="F351" i="1"/>
  <c r="N350" i="1"/>
  <c r="L350" i="1"/>
  <c r="K350" i="1"/>
  <c r="I350" i="1"/>
  <c r="I349" i="1" s="1"/>
  <c r="J349" i="1" s="1"/>
  <c r="H350" i="1"/>
  <c r="H349" i="1" s="1"/>
  <c r="E350" i="1"/>
  <c r="G350" i="1" s="1"/>
  <c r="C350" i="1"/>
  <c r="C349" i="1" s="1"/>
  <c r="N349" i="1"/>
  <c r="L349" i="1"/>
  <c r="K349" i="1"/>
  <c r="N348" i="1"/>
  <c r="L348" i="1"/>
  <c r="K348" i="1"/>
  <c r="J348" i="1"/>
  <c r="G348" i="1"/>
  <c r="F348" i="1"/>
  <c r="N347" i="1"/>
  <c r="L347" i="1"/>
  <c r="K347" i="1"/>
  <c r="J347" i="1"/>
  <c r="G347" i="1"/>
  <c r="F347" i="1"/>
  <c r="N346" i="1"/>
  <c r="L346" i="1"/>
  <c r="M346" i="1" s="1"/>
  <c r="K346" i="1"/>
  <c r="J346" i="1"/>
  <c r="G346" i="1"/>
  <c r="F346" i="1"/>
  <c r="N345" i="1"/>
  <c r="I345" i="1"/>
  <c r="H345" i="1"/>
  <c r="E345" i="1"/>
  <c r="D345" i="1"/>
  <c r="C345" i="1"/>
  <c r="L344" i="1"/>
  <c r="K344" i="1"/>
  <c r="J344" i="1"/>
  <c r="G344" i="1"/>
  <c r="F344" i="1"/>
  <c r="L343" i="1"/>
  <c r="M343" i="1" s="1"/>
  <c r="K343" i="1"/>
  <c r="J343" i="1"/>
  <c r="G343" i="1"/>
  <c r="F343" i="1"/>
  <c r="L342" i="1"/>
  <c r="K342" i="1"/>
  <c r="G342" i="1"/>
  <c r="F342" i="1"/>
  <c r="L341" i="1"/>
  <c r="K341" i="1"/>
  <c r="J341" i="1"/>
  <c r="G341" i="1"/>
  <c r="F341" i="1"/>
  <c r="I340" i="1"/>
  <c r="H340" i="1"/>
  <c r="E340" i="1"/>
  <c r="G340" i="1" s="1"/>
  <c r="D340" i="1"/>
  <c r="C340" i="1"/>
  <c r="L339" i="1"/>
  <c r="K339" i="1"/>
  <c r="J339" i="1"/>
  <c r="G339" i="1"/>
  <c r="F339" i="1"/>
  <c r="L338" i="1"/>
  <c r="M338" i="1" s="1"/>
  <c r="K338" i="1"/>
  <c r="J338" i="1"/>
  <c r="G338" i="1"/>
  <c r="F338" i="1"/>
  <c r="I337" i="1"/>
  <c r="H337" i="1"/>
  <c r="E337" i="1"/>
  <c r="D337" i="1"/>
  <c r="C337" i="1"/>
  <c r="L336" i="1"/>
  <c r="K336" i="1"/>
  <c r="J336" i="1"/>
  <c r="G336" i="1"/>
  <c r="F336" i="1"/>
  <c r="L335" i="1"/>
  <c r="K335" i="1"/>
  <c r="J335" i="1"/>
  <c r="G335" i="1"/>
  <c r="F335" i="1"/>
  <c r="I334" i="1"/>
  <c r="H334" i="1"/>
  <c r="E334" i="1"/>
  <c r="D334" i="1"/>
  <c r="C334" i="1"/>
  <c r="L333" i="1"/>
  <c r="K333" i="1"/>
  <c r="J333" i="1"/>
  <c r="G333" i="1"/>
  <c r="F333" i="1"/>
  <c r="L332" i="1"/>
  <c r="K332" i="1"/>
  <c r="J332" i="1"/>
  <c r="G332" i="1"/>
  <c r="F332" i="1"/>
  <c r="L331" i="1"/>
  <c r="K331" i="1"/>
  <c r="J331" i="1"/>
  <c r="G331" i="1"/>
  <c r="F331" i="1"/>
  <c r="L330" i="1"/>
  <c r="K330" i="1"/>
  <c r="J330" i="1"/>
  <c r="G330" i="1"/>
  <c r="F330" i="1"/>
  <c r="L329" i="1"/>
  <c r="K329" i="1"/>
  <c r="J329" i="1"/>
  <c r="G329" i="1"/>
  <c r="F329" i="1"/>
  <c r="L328" i="1"/>
  <c r="K328" i="1"/>
  <c r="J328" i="1"/>
  <c r="G328" i="1"/>
  <c r="F328" i="1"/>
  <c r="L327" i="1"/>
  <c r="K327" i="1"/>
  <c r="J327" i="1"/>
  <c r="G327" i="1"/>
  <c r="F327" i="1"/>
  <c r="L326" i="1"/>
  <c r="K326" i="1"/>
  <c r="J326" i="1"/>
  <c r="G326" i="1"/>
  <c r="F326" i="1"/>
  <c r="L325" i="1"/>
  <c r="K325" i="1"/>
  <c r="J325" i="1"/>
  <c r="G325" i="1"/>
  <c r="F325" i="1"/>
  <c r="I324" i="1"/>
  <c r="H324" i="1"/>
  <c r="E324" i="1"/>
  <c r="D324" i="1"/>
  <c r="C324" i="1"/>
  <c r="L323" i="1"/>
  <c r="K323" i="1"/>
  <c r="J323" i="1"/>
  <c r="G323" i="1"/>
  <c r="F323" i="1"/>
  <c r="L322" i="1"/>
  <c r="K322" i="1"/>
  <c r="J322" i="1"/>
  <c r="G322" i="1"/>
  <c r="F322" i="1"/>
  <c r="L321" i="1"/>
  <c r="K321" i="1"/>
  <c r="M321" i="1" s="1"/>
  <c r="J321" i="1"/>
  <c r="G321" i="1"/>
  <c r="F321" i="1"/>
  <c r="M320" i="1"/>
  <c r="J320" i="1"/>
  <c r="G320" i="1"/>
  <c r="F320" i="1"/>
  <c r="M319" i="1"/>
  <c r="J319" i="1"/>
  <c r="G319" i="1"/>
  <c r="F319" i="1"/>
  <c r="L318" i="1"/>
  <c r="K318" i="1"/>
  <c r="J318" i="1"/>
  <c r="G318" i="1"/>
  <c r="F318" i="1"/>
  <c r="I317" i="1"/>
  <c r="H317" i="1"/>
  <c r="E317" i="1"/>
  <c r="D317" i="1"/>
  <c r="G317" i="1" s="1"/>
  <c r="C317" i="1"/>
  <c r="L316" i="1"/>
  <c r="K316" i="1"/>
  <c r="J316" i="1"/>
  <c r="G316" i="1"/>
  <c r="F316" i="1"/>
  <c r="L315" i="1"/>
  <c r="K315" i="1"/>
  <c r="M315" i="1" s="1"/>
  <c r="J315" i="1"/>
  <c r="G315" i="1"/>
  <c r="F315" i="1"/>
  <c r="L314" i="1"/>
  <c r="K314" i="1"/>
  <c r="J314" i="1"/>
  <c r="L313" i="1"/>
  <c r="K313" i="1"/>
  <c r="M313" i="1" s="1"/>
  <c r="J313" i="1"/>
  <c r="G313" i="1"/>
  <c r="F313" i="1"/>
  <c r="L312" i="1"/>
  <c r="K312" i="1"/>
  <c r="J312" i="1"/>
  <c r="G312" i="1"/>
  <c r="F312" i="1"/>
  <c r="L311" i="1"/>
  <c r="K311" i="1"/>
  <c r="J311" i="1"/>
  <c r="G311" i="1"/>
  <c r="F311" i="1"/>
  <c r="L310" i="1"/>
  <c r="K310" i="1"/>
  <c r="J310" i="1"/>
  <c r="L309" i="1"/>
  <c r="K309" i="1"/>
  <c r="M309" i="1" s="1"/>
  <c r="J309" i="1"/>
  <c r="G309" i="1"/>
  <c r="F309" i="1"/>
  <c r="L308" i="1"/>
  <c r="K308" i="1"/>
  <c r="J308" i="1"/>
  <c r="G308" i="1"/>
  <c r="F308" i="1"/>
  <c r="I307" i="1"/>
  <c r="H307" i="1"/>
  <c r="E307" i="1"/>
  <c r="D307" i="1"/>
  <c r="C307" i="1"/>
  <c r="L306" i="1"/>
  <c r="K306" i="1"/>
  <c r="J306" i="1"/>
  <c r="G306" i="1"/>
  <c r="F306" i="1"/>
  <c r="L305" i="1"/>
  <c r="K305" i="1"/>
  <c r="J305" i="1"/>
  <c r="E305" i="1"/>
  <c r="F305" i="1" s="1"/>
  <c r="D305" i="1"/>
  <c r="C305" i="1"/>
  <c r="L304" i="1"/>
  <c r="K304" i="1"/>
  <c r="J304" i="1"/>
  <c r="G304" i="1"/>
  <c r="F304" i="1"/>
  <c r="L303" i="1"/>
  <c r="K303" i="1"/>
  <c r="J303" i="1"/>
  <c r="G303" i="1"/>
  <c r="F303" i="1"/>
  <c r="L302" i="1"/>
  <c r="K302" i="1"/>
  <c r="J302" i="1"/>
  <c r="G302" i="1"/>
  <c r="F302" i="1"/>
  <c r="L301" i="1"/>
  <c r="K301" i="1"/>
  <c r="J301" i="1"/>
  <c r="G301" i="1"/>
  <c r="F301" i="1"/>
  <c r="L300" i="1"/>
  <c r="K300" i="1"/>
  <c r="J300" i="1"/>
  <c r="G300" i="1"/>
  <c r="F300" i="1"/>
  <c r="L299" i="1"/>
  <c r="K299" i="1"/>
  <c r="I299" i="1"/>
  <c r="H299" i="1"/>
  <c r="E299" i="1"/>
  <c r="D299" i="1"/>
  <c r="C299" i="1"/>
  <c r="N298" i="1"/>
  <c r="L298" i="1"/>
  <c r="K298" i="1"/>
  <c r="J298" i="1"/>
  <c r="G298" i="1"/>
  <c r="F298" i="1"/>
  <c r="N297" i="1"/>
  <c r="L297" i="1"/>
  <c r="K297" i="1"/>
  <c r="J297" i="1"/>
  <c r="G297" i="1"/>
  <c r="F297" i="1"/>
  <c r="N296" i="1"/>
  <c r="L296" i="1"/>
  <c r="K296" i="1"/>
  <c r="J296" i="1"/>
  <c r="G296" i="1"/>
  <c r="F296" i="1"/>
  <c r="N295" i="1"/>
  <c r="L295" i="1"/>
  <c r="K295" i="1"/>
  <c r="J295" i="1"/>
  <c r="G295" i="1"/>
  <c r="F295" i="1"/>
  <c r="N294" i="1"/>
  <c r="L294" i="1"/>
  <c r="K294" i="1"/>
  <c r="J294" i="1"/>
  <c r="G294" i="1"/>
  <c r="F294" i="1"/>
  <c r="N293" i="1"/>
  <c r="L293" i="1"/>
  <c r="K293" i="1"/>
  <c r="J293" i="1"/>
  <c r="G293" i="1"/>
  <c r="F293" i="1"/>
  <c r="N292" i="1"/>
  <c r="L292" i="1"/>
  <c r="K292" i="1"/>
  <c r="J292" i="1"/>
  <c r="G292" i="1"/>
  <c r="F292" i="1"/>
  <c r="L291" i="1"/>
  <c r="K291" i="1"/>
  <c r="J291" i="1"/>
  <c r="G291" i="1"/>
  <c r="F291" i="1"/>
  <c r="L290" i="1"/>
  <c r="K290" i="1"/>
  <c r="J290" i="1"/>
  <c r="G290" i="1"/>
  <c r="F290" i="1"/>
  <c r="L289" i="1"/>
  <c r="K289" i="1"/>
  <c r="J289" i="1"/>
  <c r="G289" i="1"/>
  <c r="F289" i="1"/>
  <c r="L288" i="1"/>
  <c r="K288" i="1"/>
  <c r="J288" i="1"/>
  <c r="L287" i="1"/>
  <c r="K287" i="1"/>
  <c r="J287" i="1"/>
  <c r="L286" i="1"/>
  <c r="K286" i="1"/>
  <c r="J286" i="1"/>
  <c r="L285" i="1"/>
  <c r="K285" i="1"/>
  <c r="J285" i="1"/>
  <c r="N284" i="1"/>
  <c r="L284" i="1"/>
  <c r="K284" i="1"/>
  <c r="J284" i="1"/>
  <c r="G284" i="1"/>
  <c r="F284" i="1"/>
  <c r="N283" i="1"/>
  <c r="L283" i="1"/>
  <c r="K283" i="1"/>
  <c r="J283" i="1"/>
  <c r="G283" i="1"/>
  <c r="F283" i="1"/>
  <c r="N282" i="1"/>
  <c r="L282" i="1"/>
  <c r="K282" i="1"/>
  <c r="J282" i="1"/>
  <c r="G282" i="1"/>
  <c r="F282" i="1"/>
  <c r="N281" i="1"/>
  <c r="L281" i="1"/>
  <c r="K281" i="1"/>
  <c r="J281" i="1"/>
  <c r="G281" i="1"/>
  <c r="F281" i="1"/>
  <c r="N280" i="1"/>
  <c r="I280" i="1"/>
  <c r="H280" i="1"/>
  <c r="E280" i="1"/>
  <c r="D280" i="1"/>
  <c r="C280" i="1"/>
  <c r="L279" i="1"/>
  <c r="K279" i="1"/>
  <c r="J279" i="1"/>
  <c r="G279" i="1"/>
  <c r="F279" i="1"/>
  <c r="L278" i="1"/>
  <c r="K278" i="1"/>
  <c r="J278" i="1"/>
  <c r="G278" i="1"/>
  <c r="F278" i="1"/>
  <c r="L277" i="1"/>
  <c r="K277" i="1"/>
  <c r="J277" i="1"/>
  <c r="G277" i="1"/>
  <c r="F277" i="1"/>
  <c r="L276" i="1"/>
  <c r="K276" i="1"/>
  <c r="J276" i="1"/>
  <c r="G276" i="1"/>
  <c r="F276" i="1"/>
  <c r="L275" i="1"/>
  <c r="K275" i="1"/>
  <c r="J275" i="1"/>
  <c r="G275" i="1"/>
  <c r="F275" i="1"/>
  <c r="L274" i="1"/>
  <c r="K274" i="1"/>
  <c r="J274" i="1"/>
  <c r="G274" i="1"/>
  <c r="F274" i="1"/>
  <c r="L273" i="1"/>
  <c r="K273" i="1"/>
  <c r="J273" i="1"/>
  <c r="G273" i="1"/>
  <c r="F273" i="1"/>
  <c r="I272" i="1"/>
  <c r="H272" i="1"/>
  <c r="E272" i="1"/>
  <c r="D272" i="1"/>
  <c r="C272" i="1"/>
  <c r="N271" i="1"/>
  <c r="L271" i="1"/>
  <c r="K271" i="1"/>
  <c r="J271" i="1"/>
  <c r="G271" i="1"/>
  <c r="F271" i="1"/>
  <c r="L270" i="1"/>
  <c r="K270" i="1"/>
  <c r="J270" i="1"/>
  <c r="G270" i="1"/>
  <c r="F270" i="1"/>
  <c r="N269" i="1"/>
  <c r="L269" i="1"/>
  <c r="K269" i="1"/>
  <c r="J269" i="1"/>
  <c r="G269" i="1"/>
  <c r="F269" i="1"/>
  <c r="L268" i="1"/>
  <c r="K268" i="1"/>
  <c r="J268" i="1"/>
  <c r="G268" i="1"/>
  <c r="F268" i="1"/>
  <c r="L267" i="1"/>
  <c r="K267" i="1"/>
  <c r="J267" i="1"/>
  <c r="G267" i="1"/>
  <c r="F267" i="1"/>
  <c r="L266" i="1"/>
  <c r="K266" i="1"/>
  <c r="J266" i="1"/>
  <c r="G266" i="1"/>
  <c r="F266" i="1"/>
  <c r="L265" i="1"/>
  <c r="K265" i="1"/>
  <c r="J265" i="1"/>
  <c r="G265" i="1"/>
  <c r="F265" i="1"/>
  <c r="L264" i="1"/>
  <c r="K264" i="1"/>
  <c r="J264" i="1"/>
  <c r="G264" i="1"/>
  <c r="F264" i="1"/>
  <c r="M263" i="1"/>
  <c r="J263" i="1"/>
  <c r="G263" i="1"/>
  <c r="F263" i="1"/>
  <c r="L262" i="1"/>
  <c r="K262" i="1"/>
  <c r="J262" i="1"/>
  <c r="G262" i="1"/>
  <c r="F262" i="1"/>
  <c r="L261" i="1"/>
  <c r="K261" i="1"/>
  <c r="J261" i="1"/>
  <c r="G261" i="1"/>
  <c r="F261" i="1"/>
  <c r="N260" i="1"/>
  <c r="I260" i="1"/>
  <c r="L260" i="1" s="1"/>
  <c r="H260" i="1"/>
  <c r="K260" i="1" s="1"/>
  <c r="G260" i="1"/>
  <c r="F260" i="1"/>
  <c r="N259" i="1"/>
  <c r="L259" i="1"/>
  <c r="K259" i="1"/>
  <c r="J259" i="1"/>
  <c r="G259" i="1"/>
  <c r="F259" i="1"/>
  <c r="L258" i="1"/>
  <c r="K258" i="1"/>
  <c r="J258" i="1"/>
  <c r="G258" i="1"/>
  <c r="F258" i="1"/>
  <c r="L257" i="1"/>
  <c r="K257" i="1"/>
  <c r="J257" i="1"/>
  <c r="G257" i="1"/>
  <c r="F257" i="1"/>
  <c r="L256" i="1"/>
  <c r="K256" i="1"/>
  <c r="J256" i="1"/>
  <c r="G256" i="1"/>
  <c r="F256" i="1"/>
  <c r="J255" i="1"/>
  <c r="E255" i="1"/>
  <c r="D255" i="1"/>
  <c r="D231" i="1" s="1"/>
  <c r="C255" i="1"/>
  <c r="N254" i="1"/>
  <c r="L254" i="1"/>
  <c r="K254" i="1"/>
  <c r="J254" i="1"/>
  <c r="G254" i="1"/>
  <c r="F254" i="1"/>
  <c r="P253" i="1"/>
  <c r="N253" i="1"/>
  <c r="L253" i="1"/>
  <c r="K253" i="1"/>
  <c r="J253" i="1"/>
  <c r="G253" i="1"/>
  <c r="F253" i="1"/>
  <c r="N252" i="1"/>
  <c r="L252" i="1"/>
  <c r="K252" i="1"/>
  <c r="J252" i="1"/>
  <c r="G252" i="1"/>
  <c r="F252" i="1"/>
  <c r="N251" i="1"/>
  <c r="L251" i="1"/>
  <c r="K251" i="1"/>
  <c r="J251" i="1"/>
  <c r="G251" i="1"/>
  <c r="F251" i="1"/>
  <c r="N250" i="1"/>
  <c r="L250" i="1"/>
  <c r="K250" i="1"/>
  <c r="J250" i="1"/>
  <c r="G250" i="1"/>
  <c r="F250" i="1"/>
  <c r="N249" i="1"/>
  <c r="L249" i="1"/>
  <c r="K249" i="1"/>
  <c r="J249" i="1"/>
  <c r="G249" i="1"/>
  <c r="F249" i="1"/>
  <c r="N248" i="1"/>
  <c r="L248" i="1"/>
  <c r="K248" i="1"/>
  <c r="J248" i="1"/>
  <c r="G248" i="1"/>
  <c r="F248" i="1"/>
  <c r="L247" i="1"/>
  <c r="K247" i="1"/>
  <c r="J247" i="1"/>
  <c r="G247" i="1"/>
  <c r="F247" i="1"/>
  <c r="L246" i="1"/>
  <c r="K246" i="1"/>
  <c r="J246" i="1"/>
  <c r="G246" i="1"/>
  <c r="F246" i="1"/>
  <c r="L245" i="1"/>
  <c r="K245" i="1"/>
  <c r="J245" i="1"/>
  <c r="G245" i="1"/>
  <c r="F245" i="1"/>
  <c r="L244" i="1"/>
  <c r="K244" i="1"/>
  <c r="J244" i="1"/>
  <c r="G244" i="1"/>
  <c r="F244" i="1"/>
  <c r="L243" i="1"/>
  <c r="K243" i="1"/>
  <c r="J243" i="1"/>
  <c r="G243" i="1"/>
  <c r="F243" i="1"/>
  <c r="L242" i="1"/>
  <c r="K242" i="1"/>
  <c r="J242" i="1"/>
  <c r="G242" i="1"/>
  <c r="F242" i="1"/>
  <c r="L241" i="1"/>
  <c r="K241" i="1"/>
  <c r="J241" i="1"/>
  <c r="G241" i="1"/>
  <c r="F241" i="1"/>
  <c r="N240" i="1"/>
  <c r="L240" i="1"/>
  <c r="K240" i="1"/>
  <c r="J240" i="1"/>
  <c r="G240" i="1"/>
  <c r="F240" i="1"/>
  <c r="L239" i="1"/>
  <c r="K239" i="1"/>
  <c r="J239" i="1"/>
  <c r="G239" i="1"/>
  <c r="F239" i="1"/>
  <c r="N238" i="1"/>
  <c r="L238" i="1"/>
  <c r="K238" i="1"/>
  <c r="J238" i="1"/>
  <c r="G238" i="1"/>
  <c r="F238" i="1"/>
  <c r="N237" i="1"/>
  <c r="L237" i="1"/>
  <c r="K237" i="1"/>
  <c r="J237" i="1"/>
  <c r="G237" i="1"/>
  <c r="F237" i="1"/>
  <c r="L236" i="1"/>
  <c r="K236" i="1"/>
  <c r="J236" i="1"/>
  <c r="G236" i="1"/>
  <c r="F236" i="1"/>
  <c r="L235" i="1"/>
  <c r="K235" i="1"/>
  <c r="J235" i="1"/>
  <c r="G235" i="1"/>
  <c r="F235" i="1"/>
  <c r="N234" i="1"/>
  <c r="L234" i="1"/>
  <c r="K234" i="1"/>
  <c r="J234" i="1"/>
  <c r="G234" i="1"/>
  <c r="F234" i="1"/>
  <c r="L233" i="1"/>
  <c r="K233" i="1"/>
  <c r="J233" i="1"/>
  <c r="G233" i="1"/>
  <c r="F233" i="1"/>
  <c r="N232" i="1"/>
  <c r="L232" i="1"/>
  <c r="K232" i="1"/>
  <c r="J232" i="1"/>
  <c r="G232" i="1"/>
  <c r="F232" i="1"/>
  <c r="N231" i="1"/>
  <c r="I231" i="1"/>
  <c r="E231" i="1"/>
  <c r="N230" i="1"/>
  <c r="L230" i="1"/>
  <c r="K230" i="1"/>
  <c r="J230" i="1"/>
  <c r="G230" i="1"/>
  <c r="F230" i="1"/>
  <c r="N229" i="1"/>
  <c r="L229" i="1"/>
  <c r="K229" i="1"/>
  <c r="J229" i="1"/>
  <c r="G229" i="1"/>
  <c r="F229" i="1"/>
  <c r="N228" i="1"/>
  <c r="L228" i="1"/>
  <c r="K228" i="1"/>
  <c r="J228" i="1"/>
  <c r="G228" i="1"/>
  <c r="F228" i="1"/>
  <c r="N227" i="1"/>
  <c r="L227" i="1"/>
  <c r="K227" i="1"/>
  <c r="J227" i="1"/>
  <c r="G227" i="1"/>
  <c r="F227" i="1"/>
  <c r="N226" i="1"/>
  <c r="L226" i="1"/>
  <c r="K226" i="1"/>
  <c r="J226" i="1"/>
  <c r="G226" i="1"/>
  <c r="F226" i="1"/>
  <c r="L225" i="1"/>
  <c r="K225" i="1"/>
  <c r="J225" i="1"/>
  <c r="G225" i="1"/>
  <c r="F225" i="1"/>
  <c r="L224" i="1"/>
  <c r="K224" i="1"/>
  <c r="J224" i="1"/>
  <c r="G224" i="1"/>
  <c r="F224" i="1"/>
  <c r="L223" i="1"/>
  <c r="K223" i="1"/>
  <c r="J223" i="1"/>
  <c r="G223" i="1"/>
  <c r="F223" i="1"/>
  <c r="L222" i="1"/>
  <c r="K222" i="1"/>
  <c r="J222" i="1"/>
  <c r="G222" i="1"/>
  <c r="F222" i="1"/>
  <c r="L221" i="1"/>
  <c r="K221" i="1"/>
  <c r="I221" i="1"/>
  <c r="H221" i="1"/>
  <c r="E221" i="1"/>
  <c r="G221" i="1" s="1"/>
  <c r="C221" i="1"/>
  <c r="I220" i="1"/>
  <c r="H220" i="1"/>
  <c r="E220" i="1"/>
  <c r="D220" i="1"/>
  <c r="C220" i="1"/>
  <c r="L219" i="1"/>
  <c r="M219" i="1" s="1"/>
  <c r="J219" i="1"/>
  <c r="G219" i="1"/>
  <c r="F219" i="1"/>
  <c r="L218" i="1"/>
  <c r="M218" i="1" s="1"/>
  <c r="J218" i="1"/>
  <c r="G218" i="1"/>
  <c r="F218" i="1"/>
  <c r="L216" i="1"/>
  <c r="K216" i="1"/>
  <c r="J216" i="1"/>
  <c r="G216" i="1"/>
  <c r="F216" i="1"/>
  <c r="L215" i="1"/>
  <c r="K215" i="1"/>
  <c r="J215" i="1"/>
  <c r="G215" i="1"/>
  <c r="F215" i="1"/>
  <c r="L214" i="1"/>
  <c r="K214" i="1"/>
  <c r="J214" i="1"/>
  <c r="G214" i="1"/>
  <c r="F214" i="1"/>
  <c r="L213" i="1"/>
  <c r="K213" i="1"/>
  <c r="J213" i="1"/>
  <c r="G213" i="1"/>
  <c r="F213" i="1"/>
  <c r="K212" i="1"/>
  <c r="I212" i="1"/>
  <c r="G212" i="1"/>
  <c r="F212" i="1"/>
  <c r="M211" i="1"/>
  <c r="J211" i="1"/>
  <c r="G211" i="1"/>
  <c r="F211" i="1"/>
  <c r="L210" i="1"/>
  <c r="K210" i="1"/>
  <c r="J210" i="1"/>
  <c r="G210" i="1"/>
  <c r="F210" i="1"/>
  <c r="L209" i="1"/>
  <c r="K209" i="1"/>
  <c r="J209" i="1"/>
  <c r="G209" i="1"/>
  <c r="F209" i="1"/>
  <c r="L208" i="1"/>
  <c r="K208" i="1"/>
  <c r="J208" i="1"/>
  <c r="G208" i="1"/>
  <c r="F208" i="1"/>
  <c r="L207" i="1"/>
  <c r="K207" i="1"/>
  <c r="I207" i="1"/>
  <c r="H207" i="1"/>
  <c r="G207" i="1"/>
  <c r="F207" i="1"/>
  <c r="L206" i="1"/>
  <c r="K206" i="1"/>
  <c r="J206" i="1"/>
  <c r="G206" i="1"/>
  <c r="F206" i="1"/>
  <c r="L205" i="1"/>
  <c r="K205" i="1"/>
  <c r="J205" i="1"/>
  <c r="G205" i="1"/>
  <c r="F205" i="1"/>
  <c r="M204" i="1"/>
  <c r="J204" i="1"/>
  <c r="G204" i="1"/>
  <c r="F204" i="1"/>
  <c r="M203" i="1"/>
  <c r="J203" i="1"/>
  <c r="G203" i="1"/>
  <c r="F203" i="1"/>
  <c r="L202" i="1"/>
  <c r="K202" i="1"/>
  <c r="J202" i="1"/>
  <c r="G202" i="1"/>
  <c r="F202" i="1"/>
  <c r="L201" i="1"/>
  <c r="K201" i="1"/>
  <c r="J201" i="1"/>
  <c r="G201" i="1"/>
  <c r="F201" i="1"/>
  <c r="L200" i="1"/>
  <c r="K200" i="1"/>
  <c r="J200" i="1"/>
  <c r="G200" i="1"/>
  <c r="F200" i="1"/>
  <c r="L199" i="1"/>
  <c r="K199" i="1"/>
  <c r="J199" i="1"/>
  <c r="G199" i="1"/>
  <c r="F199" i="1"/>
  <c r="L198" i="1"/>
  <c r="K198" i="1"/>
  <c r="J198" i="1"/>
  <c r="G198" i="1"/>
  <c r="F198" i="1"/>
  <c r="L197" i="1"/>
  <c r="K197" i="1"/>
  <c r="J197" i="1"/>
  <c r="G197" i="1"/>
  <c r="F197" i="1"/>
  <c r="L196" i="1"/>
  <c r="K196" i="1"/>
  <c r="J196" i="1"/>
  <c r="G196" i="1"/>
  <c r="F196" i="1"/>
  <c r="L195" i="1"/>
  <c r="K195" i="1"/>
  <c r="J195" i="1"/>
  <c r="G195" i="1"/>
  <c r="F195" i="1"/>
  <c r="L194" i="1"/>
  <c r="K194" i="1"/>
  <c r="J194" i="1"/>
  <c r="G194" i="1"/>
  <c r="F194" i="1"/>
  <c r="L193" i="1"/>
  <c r="K193" i="1"/>
  <c r="J193" i="1"/>
  <c r="G193" i="1"/>
  <c r="F193" i="1"/>
  <c r="L192" i="1"/>
  <c r="K192" i="1"/>
  <c r="J192" i="1"/>
  <c r="G192" i="1"/>
  <c r="F192" i="1"/>
  <c r="L191" i="1"/>
  <c r="K191" i="1"/>
  <c r="J191" i="1"/>
  <c r="G191" i="1"/>
  <c r="F191" i="1"/>
  <c r="L190" i="1"/>
  <c r="K190" i="1"/>
  <c r="J190" i="1"/>
  <c r="G190" i="1"/>
  <c r="F190" i="1"/>
  <c r="L189" i="1"/>
  <c r="K189" i="1"/>
  <c r="J189" i="1"/>
  <c r="G189" i="1"/>
  <c r="F189" i="1"/>
  <c r="L188" i="1"/>
  <c r="K188" i="1"/>
  <c r="J188" i="1"/>
  <c r="G188" i="1"/>
  <c r="F188" i="1"/>
  <c r="L187" i="1"/>
  <c r="K187" i="1"/>
  <c r="J187" i="1"/>
  <c r="G187" i="1"/>
  <c r="F187" i="1"/>
  <c r="L186" i="1"/>
  <c r="K186" i="1"/>
  <c r="J186" i="1"/>
  <c r="G186" i="1"/>
  <c r="F186" i="1"/>
  <c r="L185" i="1"/>
  <c r="K185" i="1"/>
  <c r="J185" i="1"/>
  <c r="G185" i="1"/>
  <c r="F185" i="1"/>
  <c r="L184" i="1"/>
  <c r="K184" i="1"/>
  <c r="J184" i="1"/>
  <c r="G184" i="1"/>
  <c r="F184" i="1"/>
  <c r="L183" i="1"/>
  <c r="K183" i="1"/>
  <c r="J183" i="1"/>
  <c r="G183" i="1"/>
  <c r="F183" i="1"/>
  <c r="L182" i="1"/>
  <c r="K182" i="1"/>
  <c r="J182" i="1"/>
  <c r="G182" i="1"/>
  <c r="F182" i="1"/>
  <c r="L181" i="1"/>
  <c r="K181" i="1"/>
  <c r="J181" i="1"/>
  <c r="G181" i="1"/>
  <c r="F181" i="1"/>
  <c r="L180" i="1"/>
  <c r="K180" i="1"/>
  <c r="J180" i="1"/>
  <c r="G180" i="1"/>
  <c r="F180" i="1"/>
  <c r="L179" i="1"/>
  <c r="K179" i="1"/>
  <c r="J179" i="1"/>
  <c r="G179" i="1"/>
  <c r="F179" i="1"/>
  <c r="L178" i="1"/>
  <c r="K178" i="1"/>
  <c r="J178" i="1"/>
  <c r="G178" i="1"/>
  <c r="F178" i="1"/>
  <c r="L177" i="1"/>
  <c r="K177" i="1"/>
  <c r="J177" i="1"/>
  <c r="G177" i="1"/>
  <c r="F177" i="1"/>
  <c r="L176" i="1"/>
  <c r="K176" i="1"/>
  <c r="J176" i="1"/>
  <c r="G176" i="1"/>
  <c r="F176" i="1"/>
  <c r="J175" i="1"/>
  <c r="E175" i="1"/>
  <c r="D175" i="1"/>
  <c r="C175" i="1"/>
  <c r="K175" i="1" s="1"/>
  <c r="L174" i="1"/>
  <c r="K174" i="1"/>
  <c r="J174" i="1"/>
  <c r="G174" i="1"/>
  <c r="F174" i="1"/>
  <c r="L173" i="1"/>
  <c r="K173" i="1"/>
  <c r="J173" i="1"/>
  <c r="G173" i="1"/>
  <c r="F173" i="1"/>
  <c r="J172" i="1"/>
  <c r="E172" i="1"/>
  <c r="D172" i="1"/>
  <c r="C172" i="1"/>
  <c r="K172" i="1" s="1"/>
  <c r="L171" i="1"/>
  <c r="K171" i="1"/>
  <c r="J171" i="1"/>
  <c r="G171" i="1"/>
  <c r="F171" i="1"/>
  <c r="L170" i="1"/>
  <c r="K170" i="1"/>
  <c r="J170" i="1"/>
  <c r="G170" i="1"/>
  <c r="F170" i="1"/>
  <c r="L169" i="1"/>
  <c r="K169" i="1"/>
  <c r="J169" i="1"/>
  <c r="G169" i="1"/>
  <c r="F169" i="1"/>
  <c r="L168" i="1"/>
  <c r="K168" i="1"/>
  <c r="J168" i="1"/>
  <c r="G168" i="1"/>
  <c r="F168" i="1"/>
  <c r="L167" i="1"/>
  <c r="K167" i="1"/>
  <c r="J167" i="1"/>
  <c r="G167" i="1"/>
  <c r="F167" i="1"/>
  <c r="L166" i="1"/>
  <c r="K166" i="1"/>
  <c r="J166" i="1"/>
  <c r="G166" i="1"/>
  <c r="F166" i="1"/>
  <c r="G165" i="1"/>
  <c r="F165" i="1"/>
  <c r="L163" i="1"/>
  <c r="K163" i="1"/>
  <c r="J163" i="1"/>
  <c r="G163" i="1"/>
  <c r="F163" i="1"/>
  <c r="N162" i="1"/>
  <c r="L162" i="1"/>
  <c r="K162" i="1"/>
  <c r="J162" i="1"/>
  <c r="G162" i="1"/>
  <c r="F162" i="1"/>
  <c r="N161" i="1"/>
  <c r="J161" i="1"/>
  <c r="G161" i="1"/>
  <c r="F161" i="1"/>
  <c r="N160" i="1"/>
  <c r="L160" i="1"/>
  <c r="K160" i="1"/>
  <c r="J160" i="1"/>
  <c r="G160" i="1"/>
  <c r="F160" i="1"/>
  <c r="N159" i="1"/>
  <c r="L159" i="1"/>
  <c r="K159" i="1"/>
  <c r="J159" i="1"/>
  <c r="G159" i="1"/>
  <c r="F159" i="1"/>
  <c r="N158" i="1"/>
  <c r="L158" i="1"/>
  <c r="K158" i="1"/>
  <c r="J158" i="1"/>
  <c r="G158" i="1"/>
  <c r="F158" i="1"/>
  <c r="N157" i="1"/>
  <c r="M157" i="1"/>
  <c r="J157" i="1"/>
  <c r="G157" i="1"/>
  <c r="F157" i="1"/>
  <c r="N156" i="1"/>
  <c r="L156" i="1"/>
  <c r="K156" i="1"/>
  <c r="J156" i="1"/>
  <c r="G156" i="1"/>
  <c r="F156" i="1"/>
  <c r="N155" i="1"/>
  <c r="L155" i="1"/>
  <c r="J155" i="1"/>
  <c r="G155" i="1"/>
  <c r="F155" i="1"/>
  <c r="N154" i="1"/>
  <c r="L154" i="1"/>
  <c r="K154" i="1"/>
  <c r="J154" i="1"/>
  <c r="G154" i="1"/>
  <c r="F154" i="1"/>
  <c r="N153" i="1"/>
  <c r="J153" i="1"/>
  <c r="E153" i="1"/>
  <c r="D153" i="1"/>
  <c r="C153" i="1"/>
  <c r="K153" i="1" s="1"/>
  <c r="N152" i="1"/>
  <c r="J152" i="1"/>
  <c r="N151" i="1"/>
  <c r="M150" i="1"/>
  <c r="J150" i="1"/>
  <c r="G150" i="1"/>
  <c r="F150" i="1"/>
  <c r="N149" i="1"/>
  <c r="L149" i="1"/>
  <c r="K149" i="1"/>
  <c r="J149" i="1"/>
  <c r="G149" i="1"/>
  <c r="F149" i="1"/>
  <c r="N148" i="1"/>
  <c r="L148" i="1"/>
  <c r="K148" i="1"/>
  <c r="J148" i="1"/>
  <c r="G148" i="1"/>
  <c r="F148" i="1"/>
  <c r="N147" i="1"/>
  <c r="H147" i="1"/>
  <c r="J147" i="1" s="1"/>
  <c r="E147" i="1"/>
  <c r="L147" i="1" s="1"/>
  <c r="D147" i="1"/>
  <c r="C147" i="1"/>
  <c r="N146" i="1"/>
  <c r="L146" i="1"/>
  <c r="K146" i="1"/>
  <c r="J146" i="1"/>
  <c r="G146" i="1"/>
  <c r="F146" i="1"/>
  <c r="L145" i="1"/>
  <c r="K145" i="1"/>
  <c r="J145" i="1"/>
  <c r="G145" i="1"/>
  <c r="F145" i="1"/>
  <c r="N144" i="1"/>
  <c r="I144" i="1"/>
  <c r="H144" i="1"/>
  <c r="D144" i="1"/>
  <c r="N143" i="1"/>
  <c r="L143" i="1"/>
  <c r="K143" i="1"/>
  <c r="J143" i="1"/>
  <c r="G143" i="1"/>
  <c r="F143" i="1"/>
  <c r="N142" i="1"/>
  <c r="J142" i="1"/>
  <c r="E142" i="1"/>
  <c r="G142" i="1" s="1"/>
  <c r="C142" i="1"/>
  <c r="K142" i="1" s="1"/>
  <c r="N141" i="1"/>
  <c r="L141" i="1"/>
  <c r="K141" i="1"/>
  <c r="J141" i="1"/>
  <c r="G141" i="1"/>
  <c r="F141" i="1"/>
  <c r="N140" i="1"/>
  <c r="L140" i="1"/>
  <c r="K140" i="1"/>
  <c r="J140" i="1"/>
  <c r="G140" i="1"/>
  <c r="F140" i="1"/>
  <c r="N139" i="1"/>
  <c r="L139" i="1"/>
  <c r="K139" i="1"/>
  <c r="J139" i="1"/>
  <c r="G139" i="1"/>
  <c r="F139" i="1"/>
  <c r="L138" i="1"/>
  <c r="K138" i="1"/>
  <c r="J138" i="1"/>
  <c r="N137" i="1"/>
  <c r="I137" i="1"/>
  <c r="H137" i="1"/>
  <c r="E137" i="1"/>
  <c r="D137" i="1"/>
  <c r="L136" i="1"/>
  <c r="K136" i="1"/>
  <c r="J136" i="1"/>
  <c r="F136" i="1"/>
  <c r="L135" i="1"/>
  <c r="K135" i="1"/>
  <c r="J135" i="1"/>
  <c r="F135" i="1"/>
  <c r="N134" i="1"/>
  <c r="I134" i="1"/>
  <c r="L134" i="1" s="1"/>
  <c r="H134" i="1"/>
  <c r="K134" i="1" s="1"/>
  <c r="G134" i="1"/>
  <c r="F134" i="1"/>
  <c r="L133" i="1"/>
  <c r="K133" i="1"/>
  <c r="J133" i="1"/>
  <c r="F133" i="1"/>
  <c r="L132" i="1"/>
  <c r="K132" i="1"/>
  <c r="J132" i="1"/>
  <c r="F132" i="1"/>
  <c r="L131" i="1"/>
  <c r="K131" i="1"/>
  <c r="J131" i="1"/>
  <c r="F131" i="1"/>
  <c r="L130" i="1"/>
  <c r="K130" i="1"/>
  <c r="F130" i="1"/>
  <c r="N129" i="1"/>
  <c r="L129" i="1"/>
  <c r="K129" i="1"/>
  <c r="J129" i="1"/>
  <c r="G129" i="1"/>
  <c r="F129" i="1"/>
  <c r="N128" i="1"/>
  <c r="G128" i="1"/>
  <c r="F128" i="1"/>
  <c r="N127" i="1"/>
  <c r="L127" i="1"/>
  <c r="K127" i="1"/>
  <c r="J127" i="1"/>
  <c r="G127" i="1"/>
  <c r="F127" i="1"/>
  <c r="L126" i="1"/>
  <c r="K126" i="1"/>
  <c r="J126" i="1"/>
  <c r="F126" i="1"/>
  <c r="L125" i="1"/>
  <c r="K125" i="1"/>
  <c r="J125" i="1"/>
  <c r="F125" i="1"/>
  <c r="L124" i="1"/>
  <c r="K124" i="1"/>
  <c r="J124" i="1"/>
  <c r="F124" i="1"/>
  <c r="N123" i="1"/>
  <c r="I123" i="1"/>
  <c r="L123" i="1" s="1"/>
  <c r="H123" i="1"/>
  <c r="G123" i="1"/>
  <c r="F123" i="1"/>
  <c r="N122" i="1"/>
  <c r="L122" i="1"/>
  <c r="K122" i="1"/>
  <c r="J122" i="1"/>
  <c r="G122" i="1"/>
  <c r="F122" i="1"/>
  <c r="G121" i="1"/>
  <c r="F121" i="1"/>
  <c r="L120" i="1"/>
  <c r="K120" i="1"/>
  <c r="J120" i="1"/>
  <c r="G120" i="1"/>
  <c r="F120" i="1"/>
  <c r="N119" i="1"/>
  <c r="J119" i="1"/>
  <c r="E119" i="1"/>
  <c r="D119" i="1"/>
  <c r="D117" i="1" s="1"/>
  <c r="C119" i="1"/>
  <c r="N118" i="1"/>
  <c r="L118" i="1"/>
  <c r="K118" i="1"/>
  <c r="J118" i="1"/>
  <c r="G118" i="1"/>
  <c r="F118" i="1"/>
  <c r="N117" i="1"/>
  <c r="N116" i="1"/>
  <c r="M116" i="1"/>
  <c r="J116" i="1"/>
  <c r="G116" i="1"/>
  <c r="F116" i="1"/>
  <c r="N115" i="1"/>
  <c r="L115" i="1"/>
  <c r="K115" i="1"/>
  <c r="J115" i="1"/>
  <c r="G115" i="1"/>
  <c r="F115" i="1"/>
  <c r="N114" i="1"/>
  <c r="L114" i="1"/>
  <c r="K114" i="1"/>
  <c r="I114" i="1"/>
  <c r="H114" i="1"/>
  <c r="E114" i="1"/>
  <c r="G114" i="1" s="1"/>
  <c r="C114" i="1"/>
  <c r="L113" i="1"/>
  <c r="K113" i="1"/>
  <c r="G113" i="1"/>
  <c r="F113" i="1"/>
  <c r="L112" i="1"/>
  <c r="K112" i="1"/>
  <c r="G112" i="1"/>
  <c r="F112" i="1"/>
  <c r="L111" i="1"/>
  <c r="K111" i="1"/>
  <c r="G111" i="1"/>
  <c r="F111" i="1"/>
  <c r="N110" i="1"/>
  <c r="J110" i="1"/>
  <c r="E110" i="1"/>
  <c r="D110" i="1"/>
  <c r="C110" i="1"/>
  <c r="K110" i="1" s="1"/>
  <c r="N109" i="1"/>
  <c r="L109" i="1"/>
  <c r="K109" i="1"/>
  <c r="J109" i="1"/>
  <c r="G109" i="1"/>
  <c r="F109" i="1"/>
  <c r="N108" i="1"/>
  <c r="L108" i="1"/>
  <c r="K108" i="1"/>
  <c r="J108" i="1"/>
  <c r="G108" i="1"/>
  <c r="F108" i="1"/>
  <c r="N107" i="1"/>
  <c r="L107" i="1"/>
  <c r="K107" i="1"/>
  <c r="J107" i="1"/>
  <c r="G107" i="1"/>
  <c r="F107" i="1"/>
  <c r="N106" i="1"/>
  <c r="L106" i="1"/>
  <c r="K106" i="1"/>
  <c r="J106" i="1"/>
  <c r="G106" i="1"/>
  <c r="F106" i="1"/>
  <c r="N105" i="1"/>
  <c r="L105" i="1"/>
  <c r="K105" i="1"/>
  <c r="J105" i="1"/>
  <c r="G105" i="1"/>
  <c r="F105" i="1"/>
  <c r="L104" i="1"/>
  <c r="K104" i="1"/>
  <c r="G104" i="1"/>
  <c r="F104" i="1"/>
  <c r="L103" i="1"/>
  <c r="K103" i="1"/>
  <c r="G103" i="1"/>
  <c r="F103" i="1"/>
  <c r="L102" i="1"/>
  <c r="K102" i="1"/>
  <c r="G102" i="1"/>
  <c r="F102" i="1"/>
  <c r="L101" i="1"/>
  <c r="K101" i="1"/>
  <c r="G101" i="1"/>
  <c r="F101" i="1"/>
  <c r="N100" i="1"/>
  <c r="J100" i="1"/>
  <c r="E100" i="1"/>
  <c r="D100" i="1"/>
  <c r="C100" i="1"/>
  <c r="K100" i="1" s="1"/>
  <c r="N99" i="1"/>
  <c r="I99" i="1"/>
  <c r="H99" i="1"/>
  <c r="L98" i="1"/>
  <c r="K98" i="1"/>
  <c r="J98" i="1"/>
  <c r="G98" i="1"/>
  <c r="F98" i="1"/>
  <c r="N97" i="1"/>
  <c r="M97" i="1"/>
  <c r="J97" i="1"/>
  <c r="G97" i="1"/>
  <c r="F97" i="1"/>
  <c r="L96" i="1"/>
  <c r="K96" i="1"/>
  <c r="G96" i="1"/>
  <c r="F96" i="1"/>
  <c r="L95" i="1"/>
  <c r="K95" i="1"/>
  <c r="G95" i="1"/>
  <c r="F95" i="1"/>
  <c r="L94" i="1"/>
  <c r="K94" i="1"/>
  <c r="G94" i="1"/>
  <c r="F94" i="1"/>
  <c r="L93" i="1"/>
  <c r="K93" i="1"/>
  <c r="G93" i="1"/>
  <c r="F93" i="1"/>
  <c r="L92" i="1"/>
  <c r="K92" i="1"/>
  <c r="G92" i="1"/>
  <c r="F92" i="1"/>
  <c r="L91" i="1"/>
  <c r="K91" i="1"/>
  <c r="G91" i="1"/>
  <c r="F91" i="1"/>
  <c r="N90" i="1"/>
  <c r="J90" i="1"/>
  <c r="E90" i="1"/>
  <c r="E82" i="1" s="1"/>
  <c r="D90" i="1"/>
  <c r="D82" i="1" s="1"/>
  <c r="C90" i="1"/>
  <c r="K90" i="1" s="1"/>
  <c r="N89" i="1"/>
  <c r="M89" i="1"/>
  <c r="J89" i="1"/>
  <c r="G89" i="1"/>
  <c r="F89" i="1"/>
  <c r="N88" i="1"/>
  <c r="M88" i="1"/>
  <c r="J88" i="1"/>
  <c r="G88" i="1"/>
  <c r="F88" i="1"/>
  <c r="N87" i="1"/>
  <c r="M87" i="1"/>
  <c r="J87" i="1"/>
  <c r="G87" i="1"/>
  <c r="F87" i="1"/>
  <c r="N86" i="1"/>
  <c r="M86" i="1"/>
  <c r="J86" i="1"/>
  <c r="G86" i="1"/>
  <c r="F86" i="1"/>
  <c r="N85" i="1"/>
  <c r="L85" i="1"/>
  <c r="K85" i="1"/>
  <c r="J85" i="1"/>
  <c r="G85" i="1"/>
  <c r="F85" i="1"/>
  <c r="N84" i="1"/>
  <c r="L84" i="1"/>
  <c r="K84" i="1"/>
  <c r="J84" i="1"/>
  <c r="G84" i="1"/>
  <c r="F84" i="1"/>
  <c r="N83" i="1"/>
  <c r="L83" i="1"/>
  <c r="K83" i="1"/>
  <c r="J83" i="1"/>
  <c r="G83" i="1"/>
  <c r="F83" i="1"/>
  <c r="N82" i="1"/>
  <c r="H82" i="1"/>
  <c r="J82" i="1" s="1"/>
  <c r="C82" i="1"/>
  <c r="N81" i="1"/>
  <c r="N80" i="1"/>
  <c r="L80" i="1"/>
  <c r="K80" i="1"/>
  <c r="J80" i="1"/>
  <c r="G80" i="1"/>
  <c r="F80" i="1"/>
  <c r="N79" i="1"/>
  <c r="L79" i="1"/>
  <c r="K79" i="1"/>
  <c r="J79" i="1"/>
  <c r="G79" i="1"/>
  <c r="F79" i="1"/>
  <c r="L78" i="1"/>
  <c r="K78" i="1"/>
  <c r="J78" i="1"/>
  <c r="F78" i="1"/>
  <c r="L77" i="1"/>
  <c r="K77" i="1"/>
  <c r="J77" i="1"/>
  <c r="F77" i="1"/>
  <c r="L76" i="1"/>
  <c r="K76" i="1"/>
  <c r="J76" i="1"/>
  <c r="F76" i="1"/>
  <c r="N75" i="1"/>
  <c r="I75" i="1"/>
  <c r="L75" i="1" s="1"/>
  <c r="H75" i="1"/>
  <c r="G75" i="1"/>
  <c r="F75" i="1"/>
  <c r="N74" i="1"/>
  <c r="E74" i="1"/>
  <c r="G74" i="1" s="1"/>
  <c r="C74" i="1"/>
  <c r="L73" i="1"/>
  <c r="K73" i="1"/>
  <c r="G73" i="1"/>
  <c r="F73" i="1"/>
  <c r="L72" i="1"/>
  <c r="K72" i="1"/>
  <c r="G72" i="1"/>
  <c r="F72" i="1"/>
  <c r="L71" i="1"/>
  <c r="K71" i="1"/>
  <c r="G71" i="1"/>
  <c r="F71" i="1"/>
  <c r="N70" i="1"/>
  <c r="J70" i="1"/>
  <c r="E70" i="1"/>
  <c r="D70" i="1"/>
  <c r="C70" i="1"/>
  <c r="N69" i="1"/>
  <c r="L69" i="1"/>
  <c r="K69" i="1"/>
  <c r="J69" i="1"/>
  <c r="G69" i="1"/>
  <c r="F69" i="1"/>
  <c r="L68" i="1"/>
  <c r="K68" i="1"/>
  <c r="G68" i="1"/>
  <c r="F68" i="1"/>
  <c r="L67" i="1"/>
  <c r="K67" i="1"/>
  <c r="G67" i="1"/>
  <c r="F67" i="1"/>
  <c r="N66" i="1"/>
  <c r="J66" i="1"/>
  <c r="E66" i="1"/>
  <c r="L66" i="1" s="1"/>
  <c r="D66" i="1"/>
  <c r="C66" i="1"/>
  <c r="K66" i="1" s="1"/>
  <c r="N65" i="1"/>
  <c r="L65" i="1"/>
  <c r="K65" i="1"/>
  <c r="J65" i="1"/>
  <c r="G65" i="1"/>
  <c r="F65" i="1"/>
  <c r="L64" i="1"/>
  <c r="K64" i="1"/>
  <c r="J64" i="1"/>
  <c r="G64" i="1"/>
  <c r="F64" i="1"/>
  <c r="L63" i="1"/>
  <c r="K63" i="1"/>
  <c r="J63" i="1"/>
  <c r="G63" i="1"/>
  <c r="F63" i="1"/>
  <c r="L62" i="1"/>
  <c r="K62" i="1"/>
  <c r="J62" i="1"/>
  <c r="G62" i="1"/>
  <c r="F62" i="1"/>
  <c r="N61" i="1"/>
  <c r="L61" i="1"/>
  <c r="K61" i="1"/>
  <c r="J61" i="1"/>
  <c r="G61" i="1"/>
  <c r="F61" i="1"/>
  <c r="N60" i="1"/>
  <c r="I60" i="1"/>
  <c r="H60" i="1"/>
  <c r="N59" i="1"/>
  <c r="L59" i="1"/>
  <c r="K59" i="1"/>
  <c r="J59" i="1"/>
  <c r="G59" i="1"/>
  <c r="F59" i="1"/>
  <c r="L58" i="1"/>
  <c r="K58" i="1"/>
  <c r="J58" i="1"/>
  <c r="G58" i="1"/>
  <c r="F58" i="1"/>
  <c r="L57" i="1"/>
  <c r="K57" i="1"/>
  <c r="J57" i="1"/>
  <c r="G57" i="1"/>
  <c r="F57" i="1"/>
  <c r="L56" i="1"/>
  <c r="M56" i="1" s="1"/>
  <c r="K56" i="1"/>
  <c r="I56" i="1"/>
  <c r="H56" i="1"/>
  <c r="E56" i="1"/>
  <c r="G56" i="1" s="1"/>
  <c r="C56" i="1"/>
  <c r="C49" i="1" s="1"/>
  <c r="L55" i="1"/>
  <c r="K55" i="1"/>
  <c r="J55" i="1"/>
  <c r="G55" i="1"/>
  <c r="F55" i="1"/>
  <c r="N54" i="1"/>
  <c r="L54" i="1"/>
  <c r="K54" i="1"/>
  <c r="J54" i="1"/>
  <c r="G54" i="1"/>
  <c r="F54" i="1"/>
  <c r="N53" i="1"/>
  <c r="L53" i="1"/>
  <c r="K53" i="1"/>
  <c r="J53" i="1"/>
  <c r="G53" i="1"/>
  <c r="F53" i="1"/>
  <c r="N52" i="1"/>
  <c r="L52" i="1"/>
  <c r="K52" i="1"/>
  <c r="I52" i="1"/>
  <c r="H52" i="1"/>
  <c r="E52" i="1"/>
  <c r="F52" i="1" s="1"/>
  <c r="N51" i="1"/>
  <c r="L51" i="1"/>
  <c r="K51" i="1"/>
  <c r="J51" i="1"/>
  <c r="G51" i="1"/>
  <c r="F51" i="1"/>
  <c r="N50" i="1"/>
  <c r="L50" i="1"/>
  <c r="M50" i="1" s="1"/>
  <c r="K50" i="1"/>
  <c r="J50" i="1"/>
  <c r="G50" i="1"/>
  <c r="F50" i="1"/>
  <c r="N49" i="1"/>
  <c r="L49" i="1"/>
  <c r="K49" i="1"/>
  <c r="I49" i="1"/>
  <c r="D49" i="1"/>
  <c r="L48" i="1"/>
  <c r="K48" i="1"/>
  <c r="J48" i="1"/>
  <c r="G48" i="1"/>
  <c r="F48" i="1"/>
  <c r="L47" i="1"/>
  <c r="K47" i="1"/>
  <c r="I47" i="1"/>
  <c r="H47" i="1"/>
  <c r="G47" i="1"/>
  <c r="F47" i="1"/>
  <c r="L46" i="1"/>
  <c r="K46" i="1"/>
  <c r="J46" i="1"/>
  <c r="G46" i="1"/>
  <c r="F46" i="1"/>
  <c r="L45" i="1"/>
  <c r="K45" i="1"/>
  <c r="J45" i="1"/>
  <c r="G45" i="1"/>
  <c r="F45" i="1"/>
  <c r="L44" i="1"/>
  <c r="K44" i="1"/>
  <c r="J44" i="1"/>
  <c r="G44" i="1"/>
  <c r="F44" i="1"/>
  <c r="L43" i="1"/>
  <c r="K43" i="1"/>
  <c r="J43" i="1"/>
  <c r="G43" i="1"/>
  <c r="F43" i="1"/>
  <c r="M42" i="1"/>
  <c r="J42" i="1"/>
  <c r="G42" i="1"/>
  <c r="F42" i="1"/>
  <c r="L41" i="1"/>
  <c r="K41" i="1"/>
  <c r="J41" i="1"/>
  <c r="G41" i="1"/>
  <c r="F41" i="1"/>
  <c r="L40" i="1"/>
  <c r="K40" i="1"/>
  <c r="I40" i="1"/>
  <c r="H40" i="1"/>
  <c r="E40" i="1"/>
  <c r="G40" i="1" s="1"/>
  <c r="C40" i="1"/>
  <c r="L39" i="1"/>
  <c r="K39" i="1"/>
  <c r="J39" i="1"/>
  <c r="G39" i="1"/>
  <c r="F39" i="1"/>
  <c r="L38" i="1"/>
  <c r="K38" i="1"/>
  <c r="G38" i="1"/>
  <c r="F38" i="1"/>
  <c r="L37" i="1"/>
  <c r="K37" i="1"/>
  <c r="G37" i="1"/>
  <c r="F37" i="1"/>
  <c r="G36" i="1"/>
  <c r="F36" i="1"/>
  <c r="L35" i="1"/>
  <c r="K35" i="1"/>
  <c r="J35" i="1"/>
  <c r="G35" i="1"/>
  <c r="F35" i="1"/>
  <c r="L34" i="1"/>
  <c r="K34" i="1"/>
  <c r="J34" i="1"/>
  <c r="G34" i="1"/>
  <c r="F34" i="1"/>
  <c r="L33" i="1"/>
  <c r="K33" i="1"/>
  <c r="J33" i="1"/>
  <c r="G33" i="1"/>
  <c r="F33" i="1"/>
  <c r="L32" i="1"/>
  <c r="K32" i="1"/>
  <c r="J32" i="1"/>
  <c r="G32" i="1"/>
  <c r="F32" i="1"/>
  <c r="J31" i="1"/>
  <c r="E31" i="1"/>
  <c r="D31" i="1"/>
  <c r="C31" i="1"/>
  <c r="K31" i="1" s="1"/>
  <c r="L30" i="1"/>
  <c r="K30" i="1"/>
  <c r="J30" i="1"/>
  <c r="G30" i="1"/>
  <c r="F30" i="1"/>
  <c r="L29" i="1"/>
  <c r="K29" i="1"/>
  <c r="J29" i="1"/>
  <c r="G29" i="1"/>
  <c r="F29" i="1"/>
  <c r="L28" i="1"/>
  <c r="K28" i="1"/>
  <c r="J28" i="1"/>
  <c r="G28" i="1"/>
  <c r="F28" i="1"/>
  <c r="L27" i="1"/>
  <c r="K27" i="1"/>
  <c r="J27" i="1"/>
  <c r="G27" i="1"/>
  <c r="F27" i="1"/>
  <c r="I26" i="1"/>
  <c r="L26" i="1" s="1"/>
  <c r="H26" i="1"/>
  <c r="K26" i="1" s="1"/>
  <c r="G26" i="1"/>
  <c r="F26" i="1"/>
  <c r="L25" i="1"/>
  <c r="K25" i="1"/>
  <c r="J25" i="1"/>
  <c r="G25" i="1"/>
  <c r="F25" i="1"/>
  <c r="N24" i="1"/>
  <c r="L24" i="1"/>
  <c r="M24" i="1" s="1"/>
  <c r="J24" i="1"/>
  <c r="G24" i="1"/>
  <c r="F24" i="1"/>
  <c r="N23" i="1"/>
  <c r="I23" i="1"/>
  <c r="H23" i="1"/>
  <c r="E23" i="1"/>
  <c r="D23" i="1"/>
  <c r="C23" i="1"/>
  <c r="N22" i="1"/>
  <c r="L22" i="1"/>
  <c r="K22" i="1"/>
  <c r="J22" i="1"/>
  <c r="G22" i="1"/>
  <c r="F22" i="1"/>
  <c r="N21" i="1"/>
  <c r="L21" i="1"/>
  <c r="K21" i="1"/>
  <c r="J21" i="1"/>
  <c r="G21" i="1"/>
  <c r="F21" i="1"/>
  <c r="N20" i="1"/>
  <c r="I20" i="1"/>
  <c r="L20" i="1" s="1"/>
  <c r="H20" i="1"/>
  <c r="K20" i="1" s="1"/>
  <c r="G20" i="1"/>
  <c r="F20" i="1"/>
  <c r="L19" i="1"/>
  <c r="K19" i="1"/>
  <c r="G19" i="1"/>
  <c r="F19" i="1"/>
  <c r="L18" i="1"/>
  <c r="K18" i="1"/>
  <c r="G18" i="1"/>
  <c r="F18" i="1"/>
  <c r="L17" i="1"/>
  <c r="K17" i="1"/>
  <c r="G17" i="1"/>
  <c r="F17" i="1"/>
  <c r="L16" i="1"/>
  <c r="K16" i="1"/>
  <c r="J16" i="1"/>
  <c r="G16" i="1"/>
  <c r="F16" i="1"/>
  <c r="L15" i="1"/>
  <c r="K15" i="1"/>
  <c r="G15" i="1"/>
  <c r="F15" i="1"/>
  <c r="L14" i="1"/>
  <c r="K14" i="1"/>
  <c r="G14" i="1"/>
  <c r="F14" i="1"/>
  <c r="L13" i="1"/>
  <c r="K13" i="1"/>
  <c r="J13" i="1"/>
  <c r="G13" i="1"/>
  <c r="F13" i="1"/>
  <c r="H12" i="1"/>
  <c r="E12" i="1"/>
  <c r="D12" i="1"/>
  <c r="C12" i="1"/>
  <c r="E553" i="4" l="1"/>
  <c r="E536" i="4"/>
  <c r="E518" i="4"/>
  <c r="L12" i="8"/>
  <c r="M11" i="8"/>
  <c r="G345" i="1"/>
  <c r="M348" i="1"/>
  <c r="M385" i="1"/>
  <c r="F396" i="1"/>
  <c r="E541" i="1"/>
  <c r="D544" i="1"/>
  <c r="H231" i="1"/>
  <c r="L324" i="1"/>
  <c r="M390" i="1"/>
  <c r="M394" i="1"/>
  <c r="M296" i="1"/>
  <c r="M299" i="1"/>
  <c r="M303" i="1"/>
  <c r="C356" i="1"/>
  <c r="M404" i="1"/>
  <c r="M412" i="1"/>
  <c r="M414" i="1"/>
  <c r="M416" i="1"/>
  <c r="M420" i="1"/>
  <c r="M22" i="1"/>
  <c r="H36" i="1"/>
  <c r="K36" i="1" s="1"/>
  <c r="J52" i="1"/>
  <c r="M53" i="1"/>
  <c r="M55" i="1"/>
  <c r="M58" i="1"/>
  <c r="M148" i="1"/>
  <c r="M264" i="1"/>
  <c r="M268" i="1"/>
  <c r="G272" i="1"/>
  <c r="M286" i="1"/>
  <c r="M290" i="1"/>
  <c r="M301" i="1"/>
  <c r="M306" i="1"/>
  <c r="M341" i="1"/>
  <c r="K345" i="1"/>
  <c r="J345" i="1"/>
  <c r="M349" i="1"/>
  <c r="M350" i="1"/>
  <c r="N354" i="1"/>
  <c r="N383" i="1"/>
  <c r="N389" i="1"/>
  <c r="M389" i="1"/>
  <c r="N398" i="1"/>
  <c r="M398" i="1"/>
  <c r="M402" i="1"/>
  <c r="M406" i="1"/>
  <c r="M408" i="1"/>
  <c r="M410" i="1"/>
  <c r="L541" i="1"/>
  <c r="I128" i="1"/>
  <c r="L128" i="1" s="1"/>
  <c r="L401" i="1"/>
  <c r="M261" i="1"/>
  <c r="M266" i="1"/>
  <c r="M270" i="1"/>
  <c r="M277" i="1"/>
  <c r="M282" i="1"/>
  <c r="M292" i="1"/>
  <c r="M294" i="1"/>
  <c r="M351" i="1"/>
  <c r="M353" i="1"/>
  <c r="J373" i="1"/>
  <c r="J381" i="1"/>
  <c r="M382" i="1"/>
  <c r="M388" i="1"/>
  <c r="N391" i="1"/>
  <c r="M392" i="1"/>
  <c r="M397" i="1"/>
  <c r="L425" i="1"/>
  <c r="L429" i="1"/>
  <c r="M429" i="1" s="1"/>
  <c r="L451" i="1"/>
  <c r="K498" i="1"/>
  <c r="L514" i="1"/>
  <c r="N521" i="1"/>
  <c r="I538" i="1"/>
  <c r="L538" i="1" s="1"/>
  <c r="L542" i="1"/>
  <c r="C544" i="1"/>
  <c r="E547" i="1"/>
  <c r="L547" i="1" s="1"/>
  <c r="D457" i="1"/>
  <c r="D456" i="1" s="1"/>
  <c r="M482" i="1"/>
  <c r="G484" i="1"/>
  <c r="M488" i="1"/>
  <c r="M311" i="1"/>
  <c r="M419" i="1"/>
  <c r="K340" i="1"/>
  <c r="J340" i="1"/>
  <c r="M288" i="1"/>
  <c r="M284" i="1"/>
  <c r="K272" i="1"/>
  <c r="J272" i="1"/>
  <c r="L521" i="1"/>
  <c r="E544" i="1"/>
  <c r="L549" i="1"/>
  <c r="D152" i="1"/>
  <c r="M83" i="1"/>
  <c r="M85" i="1"/>
  <c r="D99" i="1"/>
  <c r="D81" i="1" s="1"/>
  <c r="M106" i="1"/>
  <c r="M108" i="1"/>
  <c r="G110" i="1"/>
  <c r="J114" i="1"/>
  <c r="M115" i="1"/>
  <c r="M158" i="1"/>
  <c r="M162" i="1"/>
  <c r="M166" i="1"/>
  <c r="M168" i="1"/>
  <c r="M170" i="1"/>
  <c r="G172" i="1"/>
  <c r="M176" i="1"/>
  <c r="M178" i="1"/>
  <c r="M180" i="1"/>
  <c r="M182" i="1"/>
  <c r="M184" i="1"/>
  <c r="M186" i="1"/>
  <c r="M195" i="1"/>
  <c r="M433" i="1"/>
  <c r="M435" i="1"/>
  <c r="M443" i="1"/>
  <c r="M445" i="1"/>
  <c r="M450" i="1"/>
  <c r="M453" i="1"/>
  <c r="M455" i="1"/>
  <c r="M458" i="1"/>
  <c r="M459" i="1"/>
  <c r="M461" i="1"/>
  <c r="G464" i="1"/>
  <c r="M465" i="1"/>
  <c r="G467" i="1"/>
  <c r="M472" i="1"/>
  <c r="M476" i="1"/>
  <c r="C497" i="1"/>
  <c r="K429" i="1"/>
  <c r="M437" i="1"/>
  <c r="M439" i="1"/>
  <c r="M441" i="1"/>
  <c r="M447" i="1"/>
  <c r="M431" i="1"/>
  <c r="N419" i="1"/>
  <c r="M323" i="1"/>
  <c r="M298" i="1"/>
  <c r="M279" i="1"/>
  <c r="M275" i="1"/>
  <c r="M273" i="1"/>
  <c r="M194" i="1"/>
  <c r="N194" i="1" s="1"/>
  <c r="M190" i="1"/>
  <c r="M188" i="1"/>
  <c r="M192" i="1"/>
  <c r="M174" i="1"/>
  <c r="F337" i="1"/>
  <c r="D424" i="1"/>
  <c r="H549" i="1"/>
  <c r="H544" i="1" s="1"/>
  <c r="K526" i="1"/>
  <c r="H521" i="1"/>
  <c r="M27" i="1"/>
  <c r="N27" i="1" s="1"/>
  <c r="M28" i="1"/>
  <c r="M29" i="1"/>
  <c r="G31" i="1"/>
  <c r="M41" i="1"/>
  <c r="M43" i="1"/>
  <c r="M45" i="1"/>
  <c r="M46" i="1"/>
  <c r="J47" i="1"/>
  <c r="M48" i="1"/>
  <c r="J60" i="1"/>
  <c r="M61" i="1"/>
  <c r="M63" i="1"/>
  <c r="M65" i="1"/>
  <c r="M69" i="1"/>
  <c r="D60" i="1"/>
  <c r="D11" i="1" s="1"/>
  <c r="D151" i="1" s="1"/>
  <c r="D217" i="1" s="1"/>
  <c r="M80" i="1"/>
  <c r="I117" i="1"/>
  <c r="I81" i="1" s="1"/>
  <c r="M118" i="1"/>
  <c r="G119" i="1"/>
  <c r="J123" i="1"/>
  <c r="H128" i="1"/>
  <c r="K128" i="1" s="1"/>
  <c r="C137" i="1"/>
  <c r="K137" i="1" s="1"/>
  <c r="G137" i="1"/>
  <c r="M146" i="1"/>
  <c r="K255" i="1"/>
  <c r="C231" i="1"/>
  <c r="K231" i="1" s="1"/>
  <c r="L255" i="1"/>
  <c r="F255" i="1"/>
  <c r="M486" i="1"/>
  <c r="L484" i="1"/>
  <c r="H495" i="1"/>
  <c r="J492" i="1"/>
  <c r="H484" i="1"/>
  <c r="M197" i="1"/>
  <c r="M201" i="1"/>
  <c r="M207" i="1"/>
  <c r="M209" i="1"/>
  <c r="M210" i="1"/>
  <c r="M213" i="1"/>
  <c r="M215" i="1"/>
  <c r="F221" i="1"/>
  <c r="J221" i="1"/>
  <c r="M222" i="1"/>
  <c r="M223" i="1"/>
  <c r="M224" i="1"/>
  <c r="M225" i="1"/>
  <c r="M227" i="1"/>
  <c r="M229" i="1"/>
  <c r="M233" i="1"/>
  <c r="M235" i="1"/>
  <c r="M237" i="1"/>
  <c r="M239" i="1"/>
  <c r="M241" i="1"/>
  <c r="M243" i="1"/>
  <c r="M245" i="1"/>
  <c r="M247" i="1"/>
  <c r="M249" i="1"/>
  <c r="M251" i="1"/>
  <c r="M253" i="1"/>
  <c r="M257" i="1"/>
  <c r="M259" i="1"/>
  <c r="J280" i="1"/>
  <c r="K324" i="1"/>
  <c r="M324" i="1" s="1"/>
  <c r="M326" i="1"/>
  <c r="M328" i="1"/>
  <c r="M330" i="1"/>
  <c r="M332" i="1"/>
  <c r="K334" i="1"/>
  <c r="G334" i="1"/>
  <c r="J334" i="1"/>
  <c r="M335" i="1"/>
  <c r="M356" i="1"/>
  <c r="M358" i="1"/>
  <c r="M361" i="1"/>
  <c r="H356" i="1"/>
  <c r="M362" i="1"/>
  <c r="M364" i="1"/>
  <c r="F366" i="1"/>
  <c r="J366" i="1"/>
  <c r="M367" i="1"/>
  <c r="J369" i="1"/>
  <c r="M370" i="1"/>
  <c r="M372" i="1"/>
  <c r="M375" i="1"/>
  <c r="J377" i="1"/>
  <c r="M378" i="1"/>
  <c r="M380" i="1"/>
  <c r="M427" i="1"/>
  <c r="C424" i="1"/>
  <c r="J429" i="1"/>
  <c r="M469" i="1"/>
  <c r="G471" i="1"/>
  <c r="M474" i="1"/>
  <c r="M490" i="1"/>
  <c r="M493" i="1"/>
  <c r="K497" i="1"/>
  <c r="K521" i="1"/>
  <c r="K541" i="1"/>
  <c r="K542" i="1"/>
  <c r="K543" i="1"/>
  <c r="M20" i="1"/>
  <c r="M26" i="1"/>
  <c r="G175" i="1"/>
  <c r="L175" i="1"/>
  <c r="M175" i="1" s="1"/>
  <c r="F175" i="1"/>
  <c r="L212" i="1"/>
  <c r="M212" i="1" s="1"/>
  <c r="J212" i="1"/>
  <c r="G280" i="1"/>
  <c r="F280" i="1"/>
  <c r="F360" i="1"/>
  <c r="E356" i="1"/>
  <c r="F356" i="1" s="1"/>
  <c r="J360" i="1"/>
  <c r="I356" i="1"/>
  <c r="F369" i="1"/>
  <c r="G373" i="1"/>
  <c r="F373" i="1"/>
  <c r="J425" i="1"/>
  <c r="H424" i="1"/>
  <c r="D500" i="1"/>
  <c r="D497" i="1"/>
  <c r="G497" i="1" s="1"/>
  <c r="G498" i="1"/>
  <c r="K12" i="1"/>
  <c r="G12" i="1"/>
  <c r="I12" i="1"/>
  <c r="J12" i="1" s="1"/>
  <c r="M17" i="1"/>
  <c r="M19" i="1"/>
  <c r="M21" i="1"/>
  <c r="G23" i="1"/>
  <c r="L23" i="1"/>
  <c r="M23" i="1" s="1"/>
  <c r="M25" i="1"/>
  <c r="M30" i="1"/>
  <c r="N30" i="1" s="1"/>
  <c r="M33" i="1"/>
  <c r="M35" i="1"/>
  <c r="N39" i="1"/>
  <c r="M39" i="1"/>
  <c r="F40" i="1"/>
  <c r="M40" i="1"/>
  <c r="M44" i="1"/>
  <c r="N46" i="1"/>
  <c r="M47" i="1"/>
  <c r="E49" i="1"/>
  <c r="G49" i="1" s="1"/>
  <c r="M49" i="1"/>
  <c r="M51" i="1"/>
  <c r="M52" i="1"/>
  <c r="M54" i="1"/>
  <c r="F56" i="1"/>
  <c r="H49" i="1"/>
  <c r="J49" i="1" s="1"/>
  <c r="M57" i="1"/>
  <c r="M59" i="1"/>
  <c r="M62" i="1"/>
  <c r="M64" i="1"/>
  <c r="M68" i="1"/>
  <c r="C60" i="1"/>
  <c r="C11" i="1" s="1"/>
  <c r="M72" i="1"/>
  <c r="F74" i="1"/>
  <c r="I74" i="1"/>
  <c r="L74" i="1" s="1"/>
  <c r="M77" i="1"/>
  <c r="M79" i="1"/>
  <c r="K82" i="1"/>
  <c r="G82" i="1"/>
  <c r="K119" i="1"/>
  <c r="C117" i="1"/>
  <c r="L137" i="1"/>
  <c r="M137" i="1" s="1"/>
  <c r="L280" i="1"/>
  <c r="F324" i="1"/>
  <c r="E349" i="1"/>
  <c r="F349" i="1" s="1"/>
  <c r="C550" i="1"/>
  <c r="K550" i="1" s="1"/>
  <c r="C507" i="1"/>
  <c r="C503" i="1" s="1"/>
  <c r="E550" i="1"/>
  <c r="L550" i="1" s="1"/>
  <c r="E507" i="1"/>
  <c r="E503" i="1" s="1"/>
  <c r="M84" i="1"/>
  <c r="G90" i="1"/>
  <c r="M98" i="1"/>
  <c r="G100" i="1"/>
  <c r="M101" i="1"/>
  <c r="M103" i="1"/>
  <c r="M105" i="1"/>
  <c r="M107" i="1"/>
  <c r="M109" i="1"/>
  <c r="M114" i="1"/>
  <c r="M122" i="1"/>
  <c r="M124" i="1"/>
  <c r="M126" i="1"/>
  <c r="M128" i="1"/>
  <c r="M130" i="1"/>
  <c r="M132" i="1"/>
  <c r="M134" i="1"/>
  <c r="M136" i="1"/>
  <c r="M139" i="1"/>
  <c r="M141" i="1"/>
  <c r="J144" i="1"/>
  <c r="M145" i="1"/>
  <c r="K147" i="1"/>
  <c r="M147" i="1" s="1"/>
  <c r="M149" i="1"/>
  <c r="G153" i="1"/>
  <c r="M154" i="1"/>
  <c r="M156" i="1"/>
  <c r="M159" i="1"/>
  <c r="M161" i="1"/>
  <c r="M163" i="1"/>
  <c r="M167" i="1"/>
  <c r="M169" i="1"/>
  <c r="M171" i="1"/>
  <c r="M173" i="1"/>
  <c r="M177" i="1"/>
  <c r="M179" i="1"/>
  <c r="M181" i="1"/>
  <c r="M183" i="1"/>
  <c r="M185" i="1"/>
  <c r="M187" i="1"/>
  <c r="M189" i="1"/>
  <c r="M191" i="1"/>
  <c r="M193" i="1"/>
  <c r="M196" i="1"/>
  <c r="M198" i="1"/>
  <c r="N199" i="1"/>
  <c r="M199" i="1"/>
  <c r="M200" i="1"/>
  <c r="M202" i="1"/>
  <c r="N203" i="1"/>
  <c r="N204" i="1"/>
  <c r="N205" i="1"/>
  <c r="M205" i="1"/>
  <c r="M206" i="1"/>
  <c r="J207" i="1"/>
  <c r="M208" i="1"/>
  <c r="M214" i="1"/>
  <c r="M216" i="1"/>
  <c r="C405" i="1"/>
  <c r="C422" i="1" s="1"/>
  <c r="E405" i="1"/>
  <c r="E422" i="1" s="1"/>
  <c r="I405" i="1"/>
  <c r="M221" i="1"/>
  <c r="N223" i="1"/>
  <c r="M226" i="1"/>
  <c r="M228" i="1"/>
  <c r="M230" i="1"/>
  <c r="G231" i="1"/>
  <c r="J231" i="1"/>
  <c r="M232" i="1"/>
  <c r="M234" i="1"/>
  <c r="M236" i="1"/>
  <c r="M238" i="1"/>
  <c r="M240" i="1"/>
  <c r="M242" i="1"/>
  <c r="M244" i="1"/>
  <c r="M246" i="1"/>
  <c r="M248" i="1"/>
  <c r="M250" i="1"/>
  <c r="M252" i="1"/>
  <c r="M254" i="1"/>
  <c r="G255" i="1"/>
  <c r="M256" i="1"/>
  <c r="M258" i="1"/>
  <c r="M260" i="1"/>
  <c r="M262" i="1"/>
  <c r="M265" i="1"/>
  <c r="M267" i="1"/>
  <c r="M269" i="1"/>
  <c r="M271" i="1"/>
  <c r="M274" i="1"/>
  <c r="M276" i="1"/>
  <c r="M278" i="1"/>
  <c r="M281" i="1"/>
  <c r="M283" i="1"/>
  <c r="M285" i="1"/>
  <c r="M287" i="1"/>
  <c r="M289" i="1"/>
  <c r="M291" i="1"/>
  <c r="M293" i="1"/>
  <c r="M295" i="1"/>
  <c r="M297" i="1"/>
  <c r="G299" i="1"/>
  <c r="J299" i="1"/>
  <c r="M300" i="1"/>
  <c r="M302" i="1"/>
  <c r="M304" i="1"/>
  <c r="G305" i="1"/>
  <c r="M305" i="1"/>
  <c r="K307" i="1"/>
  <c r="G307" i="1"/>
  <c r="J307" i="1"/>
  <c r="M308" i="1"/>
  <c r="M310" i="1"/>
  <c r="M312" i="1"/>
  <c r="M314" i="1"/>
  <c r="M316" i="1"/>
  <c r="K317" i="1"/>
  <c r="J317" i="1"/>
  <c r="M318" i="1"/>
  <c r="M322" i="1"/>
  <c r="M325" i="1"/>
  <c r="M327" i="1"/>
  <c r="M329" i="1"/>
  <c r="M331" i="1"/>
  <c r="M333" i="1"/>
  <c r="M336" i="1"/>
  <c r="G337" i="1"/>
  <c r="K337" i="1"/>
  <c r="L337" i="1"/>
  <c r="M339" i="1"/>
  <c r="M342" i="1"/>
  <c r="M344" i="1"/>
  <c r="M347" i="1"/>
  <c r="M352" i="1"/>
  <c r="M354" i="1"/>
  <c r="N355" i="1"/>
  <c r="M355" i="1"/>
  <c r="M357" i="1"/>
  <c r="M359" i="1"/>
  <c r="M360" i="1"/>
  <c r="F362" i="1"/>
  <c r="J362" i="1"/>
  <c r="M363" i="1"/>
  <c r="M365" i="1"/>
  <c r="M366" i="1"/>
  <c r="M368" i="1"/>
  <c r="M369" i="1"/>
  <c r="M371" i="1"/>
  <c r="M373" i="1"/>
  <c r="F377" i="1"/>
  <c r="G381" i="1"/>
  <c r="F381" i="1"/>
  <c r="G425" i="1"/>
  <c r="F425" i="1"/>
  <c r="L473" i="1"/>
  <c r="I471" i="1"/>
  <c r="I456" i="1" s="1"/>
  <c r="K489" i="1"/>
  <c r="M489" i="1" s="1"/>
  <c r="M374" i="1"/>
  <c r="M376" i="1"/>
  <c r="M377" i="1"/>
  <c r="M379" i="1"/>
  <c r="M381" i="1"/>
  <c r="M383" i="1"/>
  <c r="M384" i="1"/>
  <c r="F387" i="1"/>
  <c r="J387" i="1"/>
  <c r="J388" i="1"/>
  <c r="N390" i="1"/>
  <c r="M393" i="1"/>
  <c r="M395" i="1"/>
  <c r="G396" i="1"/>
  <c r="J396" i="1"/>
  <c r="N397" i="1"/>
  <c r="N399" i="1"/>
  <c r="J401" i="1"/>
  <c r="M403" i="1"/>
  <c r="M407" i="1"/>
  <c r="M409" i="1"/>
  <c r="M411" i="1"/>
  <c r="M413" i="1"/>
  <c r="M415" i="1"/>
  <c r="M417" i="1"/>
  <c r="M421" i="1"/>
  <c r="M428" i="1"/>
  <c r="M430" i="1"/>
  <c r="M432" i="1"/>
  <c r="M434" i="1"/>
  <c r="M436" i="1"/>
  <c r="M438" i="1"/>
  <c r="M440" i="1"/>
  <c r="M442" i="1"/>
  <c r="M444" i="1"/>
  <c r="K448" i="1"/>
  <c r="M448" i="1" s="1"/>
  <c r="J448" i="1"/>
  <c r="M449" i="1"/>
  <c r="K451" i="1"/>
  <c r="J451" i="1"/>
  <c r="M452" i="1"/>
  <c r="M454" i="1"/>
  <c r="C457" i="1"/>
  <c r="K457" i="1" s="1"/>
  <c r="M460" i="1"/>
  <c r="M463" i="1"/>
  <c r="M466" i="1"/>
  <c r="M467" i="1"/>
  <c r="M468" i="1"/>
  <c r="M470" i="1"/>
  <c r="M475" i="1"/>
  <c r="M477" i="1"/>
  <c r="M483" i="1"/>
  <c r="J484" i="1"/>
  <c r="J485" i="1"/>
  <c r="M487" i="1"/>
  <c r="G489" i="1"/>
  <c r="M491" i="1"/>
  <c r="M494" i="1"/>
  <c r="J495" i="1"/>
  <c r="K500" i="1"/>
  <c r="C500" i="1"/>
  <c r="J505" i="1"/>
  <c r="J511" i="1"/>
  <c r="K518" i="1"/>
  <c r="I544" i="1"/>
  <c r="N537" i="1"/>
  <c r="M14" i="1"/>
  <c r="M18" i="1"/>
  <c r="M32" i="1"/>
  <c r="M34" i="1"/>
  <c r="M38" i="1"/>
  <c r="N42" i="1"/>
  <c r="N45" i="1"/>
  <c r="M66" i="1"/>
  <c r="M67" i="1"/>
  <c r="M73" i="1"/>
  <c r="M76" i="1"/>
  <c r="M78" i="1"/>
  <c r="M92" i="1"/>
  <c r="M94" i="1"/>
  <c r="M96" i="1"/>
  <c r="M104" i="1"/>
  <c r="M112" i="1"/>
  <c r="M125" i="1"/>
  <c r="M127" i="1"/>
  <c r="M129" i="1"/>
  <c r="M131" i="1"/>
  <c r="M133" i="1"/>
  <c r="M135" i="1"/>
  <c r="M138" i="1"/>
  <c r="M140" i="1"/>
  <c r="M143" i="1"/>
  <c r="N198" i="1"/>
  <c r="N202" i="1"/>
  <c r="N206" i="1"/>
  <c r="N209" i="1"/>
  <c r="N222" i="1"/>
  <c r="N224" i="1"/>
  <c r="M160" i="1"/>
  <c r="M155" i="1"/>
  <c r="F153" i="1"/>
  <c r="L153" i="1"/>
  <c r="M153" i="1" s="1"/>
  <c r="E117" i="1"/>
  <c r="G117" i="1" s="1"/>
  <c r="F119" i="1"/>
  <c r="L119" i="1"/>
  <c r="M120" i="1"/>
  <c r="M113" i="1"/>
  <c r="M111" i="1"/>
  <c r="M102" i="1"/>
  <c r="F100" i="1"/>
  <c r="L100" i="1"/>
  <c r="M95" i="1"/>
  <c r="M93" i="1"/>
  <c r="M91" i="1"/>
  <c r="M71" i="1"/>
  <c r="F66" i="1"/>
  <c r="M37" i="1"/>
  <c r="F31" i="1"/>
  <c r="L31" i="1"/>
  <c r="M16" i="1"/>
  <c r="M15" i="1"/>
  <c r="L12" i="1"/>
  <c r="M12" i="1" s="1"/>
  <c r="M13" i="1"/>
  <c r="N28" i="1"/>
  <c r="M31" i="1"/>
  <c r="K60" i="1"/>
  <c r="L70" i="1"/>
  <c r="F70" i="1"/>
  <c r="E60" i="1"/>
  <c r="F12" i="1"/>
  <c r="J20" i="1"/>
  <c r="F23" i="1"/>
  <c r="J23" i="1"/>
  <c r="J26" i="1"/>
  <c r="G52" i="1"/>
  <c r="J56" i="1"/>
  <c r="G66" i="1"/>
  <c r="G70" i="1"/>
  <c r="K70" i="1"/>
  <c r="K75" i="1"/>
  <c r="M75" i="1" s="1"/>
  <c r="H74" i="1"/>
  <c r="K74" i="1" s="1"/>
  <c r="J75" i="1"/>
  <c r="F82" i="1"/>
  <c r="L82" i="1"/>
  <c r="M82" i="1" s="1"/>
  <c r="L90" i="1"/>
  <c r="M90" i="1" s="1"/>
  <c r="F90" i="1"/>
  <c r="J99" i="1"/>
  <c r="M100" i="1"/>
  <c r="J40" i="1"/>
  <c r="I36" i="1"/>
  <c r="F49" i="1"/>
  <c r="C99" i="1"/>
  <c r="E99" i="1"/>
  <c r="F110" i="1"/>
  <c r="L110" i="1"/>
  <c r="M110" i="1" s="1"/>
  <c r="F114" i="1"/>
  <c r="H117" i="1"/>
  <c r="K117" i="1" s="1"/>
  <c r="K123" i="1"/>
  <c r="M123" i="1" s="1"/>
  <c r="J128" i="1"/>
  <c r="J134" i="1"/>
  <c r="F137" i="1"/>
  <c r="J137" i="1"/>
  <c r="F142" i="1"/>
  <c r="L142" i="1"/>
  <c r="M142" i="1" s="1"/>
  <c r="C144" i="1"/>
  <c r="K144" i="1" s="1"/>
  <c r="E144" i="1"/>
  <c r="F147" i="1"/>
  <c r="C152" i="1"/>
  <c r="K152" i="1" s="1"/>
  <c r="E152" i="1"/>
  <c r="F172" i="1"/>
  <c r="L172" i="1"/>
  <c r="M172" i="1" s="1"/>
  <c r="D405" i="1"/>
  <c r="D422" i="1" s="1"/>
  <c r="F220" i="1"/>
  <c r="H405" i="1"/>
  <c r="J220" i="1"/>
  <c r="L220" i="1"/>
  <c r="L231" i="1"/>
  <c r="M231" i="1" s="1"/>
  <c r="J260" i="1"/>
  <c r="F272" i="1"/>
  <c r="L272" i="1"/>
  <c r="M272" i="1" s="1"/>
  <c r="K280" i="1"/>
  <c r="F299" i="1"/>
  <c r="F307" i="1"/>
  <c r="L307" i="1"/>
  <c r="L317" i="1"/>
  <c r="F317" i="1"/>
  <c r="G324" i="1"/>
  <c r="J324" i="1"/>
  <c r="G349" i="1"/>
  <c r="F350" i="1"/>
  <c r="M425" i="1"/>
  <c r="G147" i="1"/>
  <c r="G220" i="1"/>
  <c r="K220" i="1"/>
  <c r="L334" i="1"/>
  <c r="F334" i="1"/>
  <c r="J337" i="1"/>
  <c r="L340" i="1"/>
  <c r="M340" i="1" s="1"/>
  <c r="F340" i="1"/>
  <c r="L345" i="1"/>
  <c r="M345" i="1" s="1"/>
  <c r="F345" i="1"/>
  <c r="J350" i="1"/>
  <c r="M446" i="1"/>
  <c r="M451" i="1"/>
  <c r="G360" i="1"/>
  <c r="G362" i="1"/>
  <c r="G366" i="1"/>
  <c r="G369" i="1"/>
  <c r="G377" i="1"/>
  <c r="G387" i="1"/>
  <c r="G388" i="1"/>
  <c r="G401" i="1"/>
  <c r="K401" i="1"/>
  <c r="M401" i="1" s="1"/>
  <c r="M426" i="1"/>
  <c r="G429" i="1"/>
  <c r="G446" i="1"/>
  <c r="G448" i="1"/>
  <c r="G451" i="1"/>
  <c r="J457" i="1"/>
  <c r="G459" i="1"/>
  <c r="E457" i="1"/>
  <c r="L464" i="1"/>
  <c r="M464" i="1" s="1"/>
  <c r="J473" i="1"/>
  <c r="J481" i="1"/>
  <c r="F485" i="1"/>
  <c r="L485" i="1"/>
  <c r="L498" i="1"/>
  <c r="J498" i="1"/>
  <c r="I500" i="1"/>
  <c r="J500" i="1" s="1"/>
  <c r="I497" i="1"/>
  <c r="J497" i="1" s="1"/>
  <c r="C531" i="1"/>
  <c r="C540" i="1"/>
  <c r="F401" i="1"/>
  <c r="E424" i="1"/>
  <c r="I424" i="1"/>
  <c r="F429" i="1"/>
  <c r="F446" i="1"/>
  <c r="F448" i="1"/>
  <c r="F451" i="1"/>
  <c r="H471" i="1"/>
  <c r="M473" i="1"/>
  <c r="M481" i="1"/>
  <c r="F484" i="1"/>
  <c r="K484" i="1"/>
  <c r="G485" i="1"/>
  <c r="F495" i="1"/>
  <c r="G495" i="1"/>
  <c r="F497" i="1"/>
  <c r="L499" i="1"/>
  <c r="M499" i="1" s="1"/>
  <c r="J499" i="1"/>
  <c r="I531" i="1"/>
  <c r="I503" i="1"/>
  <c r="K485" i="1"/>
  <c r="L495" i="1"/>
  <c r="F498" i="1"/>
  <c r="E500" i="1"/>
  <c r="E531" i="1"/>
  <c r="L531" i="1" s="1"/>
  <c r="D550" i="1"/>
  <c r="D507" i="1"/>
  <c r="K547" i="1"/>
  <c r="K549" i="1"/>
  <c r="K492" i="1"/>
  <c r="K495" i="1" s="1"/>
  <c r="H527" i="1"/>
  <c r="J536" i="1"/>
  <c r="N536" i="1" s="1"/>
  <c r="H538" i="1"/>
  <c r="K539" i="1"/>
  <c r="N539" i="1" s="1"/>
  <c r="M284" i="8" l="1"/>
  <c r="L11" i="8"/>
  <c r="L284" i="8" s="1"/>
  <c r="D478" i="1"/>
  <c r="D501" i="1" s="1"/>
  <c r="M334" i="1"/>
  <c r="M255" i="1"/>
  <c r="I532" i="1"/>
  <c r="L532" i="1" s="1"/>
  <c r="D540" i="1"/>
  <c r="M317" i="1"/>
  <c r="I551" i="1"/>
  <c r="E540" i="1"/>
  <c r="C551" i="1"/>
  <c r="G356" i="1"/>
  <c r="D479" i="1"/>
  <c r="F117" i="1"/>
  <c r="D502" i="1"/>
  <c r="I540" i="1"/>
  <c r="M280" i="1"/>
  <c r="E551" i="1"/>
  <c r="M484" i="1"/>
  <c r="N484" i="1" s="1"/>
  <c r="L544" i="1"/>
  <c r="L551" i="1" s="1"/>
  <c r="C456" i="1"/>
  <c r="C478" i="1" s="1"/>
  <c r="C501" i="1" s="1"/>
  <c r="L471" i="1"/>
  <c r="N387" i="1"/>
  <c r="N26" i="1"/>
  <c r="N396" i="1"/>
  <c r="M337" i="1"/>
  <c r="J356" i="1"/>
  <c r="K424" i="1"/>
  <c r="F231" i="1"/>
  <c r="F405" i="1"/>
  <c r="L405" i="1"/>
  <c r="N388" i="1"/>
  <c r="I422" i="1"/>
  <c r="L422" i="1" s="1"/>
  <c r="G405" i="1"/>
  <c r="M307" i="1"/>
  <c r="M119" i="1"/>
  <c r="M495" i="1"/>
  <c r="L117" i="1"/>
  <c r="M117" i="1" s="1"/>
  <c r="M485" i="1"/>
  <c r="K538" i="1"/>
  <c r="N538" i="1" s="1"/>
  <c r="H532" i="1"/>
  <c r="H551" i="1" s="1"/>
  <c r="K527" i="1"/>
  <c r="H503" i="1"/>
  <c r="K544" i="1"/>
  <c r="H540" i="1"/>
  <c r="K540" i="1" s="1"/>
  <c r="H531" i="1"/>
  <c r="K531" i="1" s="1"/>
  <c r="G424" i="1"/>
  <c r="L424" i="1"/>
  <c r="F424" i="1"/>
  <c r="D551" i="1"/>
  <c r="L457" i="1"/>
  <c r="M457" i="1" s="1"/>
  <c r="G457" i="1"/>
  <c r="E456" i="1"/>
  <c r="N401" i="1"/>
  <c r="M220" i="1"/>
  <c r="N220" i="1" s="1"/>
  <c r="H422" i="1"/>
  <c r="K405" i="1"/>
  <c r="M405" i="1" s="1"/>
  <c r="L144" i="1"/>
  <c r="M144" i="1" s="1"/>
  <c r="F144" i="1"/>
  <c r="G144" i="1"/>
  <c r="K99" i="1"/>
  <c r="C81" i="1"/>
  <c r="H81" i="1"/>
  <c r="J81" i="1" s="1"/>
  <c r="J74" i="1"/>
  <c r="D531" i="1"/>
  <c r="D503" i="1"/>
  <c r="L503" i="1"/>
  <c r="F503" i="1"/>
  <c r="F500" i="1"/>
  <c r="G500" i="1"/>
  <c r="M492" i="1"/>
  <c r="K471" i="1"/>
  <c r="J471" i="1"/>
  <c r="H456" i="1"/>
  <c r="I478" i="1"/>
  <c r="J424" i="1"/>
  <c r="L500" i="1"/>
  <c r="M500" i="1" s="1"/>
  <c r="L497" i="1"/>
  <c r="M497" i="1" s="1"/>
  <c r="M498" i="1"/>
  <c r="J405" i="1"/>
  <c r="G422" i="1"/>
  <c r="F422" i="1"/>
  <c r="M152" i="1"/>
  <c r="F152" i="1"/>
  <c r="G152" i="1"/>
  <c r="J117" i="1"/>
  <c r="G99" i="1"/>
  <c r="E81" i="1"/>
  <c r="L99" i="1"/>
  <c r="M99" i="1" s="1"/>
  <c r="F99" i="1"/>
  <c r="L36" i="1"/>
  <c r="M36" i="1" s="1"/>
  <c r="J36" i="1"/>
  <c r="I11" i="1"/>
  <c r="M74" i="1"/>
  <c r="H11" i="1"/>
  <c r="G60" i="1"/>
  <c r="L60" i="1"/>
  <c r="M60" i="1" s="1"/>
  <c r="F60" i="1"/>
  <c r="E11" i="1"/>
  <c r="M70" i="1"/>
  <c r="L540" i="1" l="1"/>
  <c r="P514" i="1"/>
  <c r="M471" i="1"/>
  <c r="G503" i="1"/>
  <c r="K503" i="1"/>
  <c r="I479" i="1"/>
  <c r="M424" i="1"/>
  <c r="M503" i="1"/>
  <c r="C479" i="1"/>
  <c r="O479" i="1"/>
  <c r="F81" i="1"/>
  <c r="G81" i="1"/>
  <c r="L81" i="1"/>
  <c r="K456" i="1"/>
  <c r="H478" i="1"/>
  <c r="T478" i="1" s="1"/>
  <c r="K81" i="1"/>
  <c r="C151" i="1"/>
  <c r="K422" i="1"/>
  <c r="M422" i="1" s="1"/>
  <c r="J456" i="1"/>
  <c r="E151" i="1"/>
  <c r="G11" i="1"/>
  <c r="F11" i="1"/>
  <c r="H151" i="1"/>
  <c r="H217" i="1" s="1"/>
  <c r="K11" i="1"/>
  <c r="I151" i="1"/>
  <c r="L11" i="1"/>
  <c r="J11" i="1"/>
  <c r="P479" i="1"/>
  <c r="I501" i="1"/>
  <c r="J422" i="1"/>
  <c r="G456" i="1"/>
  <c r="L456" i="1"/>
  <c r="M456" i="1" s="1"/>
  <c r="E478" i="1"/>
  <c r="K532" i="1"/>
  <c r="K551" i="1" s="1"/>
  <c r="N551" i="1" s="1"/>
  <c r="M11" i="1" l="1"/>
  <c r="H479" i="1"/>
  <c r="J479" i="1" s="1"/>
  <c r="J478" i="1"/>
  <c r="N422" i="1"/>
  <c r="N532" i="1"/>
  <c r="I217" i="1"/>
  <c r="L151" i="1"/>
  <c r="J151" i="1"/>
  <c r="O480" i="1"/>
  <c r="F478" i="1"/>
  <c r="R478" i="1" s="1"/>
  <c r="E501" i="1"/>
  <c r="G478" i="1"/>
  <c r="S478" i="1" s="1"/>
  <c r="Q478" i="1"/>
  <c r="E479" i="1"/>
  <c r="G479" i="1" s="1"/>
  <c r="L501" i="1"/>
  <c r="L478" i="1"/>
  <c r="E217" i="1"/>
  <c r="F151" i="1"/>
  <c r="G151" i="1"/>
  <c r="C217" i="1"/>
  <c r="K151" i="1"/>
  <c r="H501" i="1"/>
  <c r="K501" i="1" s="1"/>
  <c r="P480" i="1"/>
  <c r="K478" i="1"/>
  <c r="K479" i="1" s="1"/>
  <c r="M81" i="1"/>
  <c r="J501" i="1" l="1"/>
  <c r="H502" i="1"/>
  <c r="O503" i="1" s="1"/>
  <c r="E502" i="1"/>
  <c r="G217" i="1"/>
  <c r="L217" i="1"/>
  <c r="F217" i="1"/>
  <c r="M151" i="1"/>
  <c r="C502" i="1"/>
  <c r="M478" i="1"/>
  <c r="L479" i="1"/>
  <c r="M479" i="1" s="1"/>
  <c r="M501" i="1"/>
  <c r="F501" i="1"/>
  <c r="G501" i="1"/>
  <c r="K217" i="1"/>
  <c r="I502" i="1"/>
  <c r="U503" i="1" s="1"/>
  <c r="J217" i="1"/>
  <c r="O514" i="1" l="1"/>
  <c r="K502" i="1"/>
  <c r="M217" i="1"/>
  <c r="N217" i="1" s="1"/>
  <c r="P503" i="1"/>
  <c r="F502" i="1"/>
  <c r="L502" i="1"/>
  <c r="G502" i="1"/>
  <c r="S514" i="1" s="1"/>
  <c r="M502" i="1" l="1"/>
</calcChain>
</file>

<file path=xl/sharedStrings.xml><?xml version="1.0" encoding="utf-8"?>
<sst xmlns="http://schemas.openxmlformats.org/spreadsheetml/2006/main" count="4070" uniqueCount="2178">
  <si>
    <t>Найменування показника</t>
  </si>
  <si>
    <t>Код бюджетної класифікації</t>
  </si>
  <si>
    <t>Загальний фонд</t>
  </si>
  <si>
    <t>Спеціальний фонд</t>
  </si>
  <si>
    <t>Всього</t>
  </si>
  <si>
    <t>Уточнений план на 2024 р.</t>
  </si>
  <si>
    <t>План на 9 місяців 2024 року</t>
  </si>
  <si>
    <t>Виконано</t>
  </si>
  <si>
    <t>%</t>
  </si>
  <si>
    <t>% до плану 9 місяців</t>
  </si>
  <si>
    <t>1.  ДОХОДИ :</t>
  </si>
  <si>
    <t>Податкові надходження:</t>
  </si>
  <si>
    <t>10000000</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</si>
  <si>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</si>
  <si>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</si>
  <si>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</si>
  <si>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11010100</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</si>
  <si>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</si>
  <si>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11010200</t>
  </si>
  <si>
    <t xml:space="preserve">Податок на доходи фізичних осіб, що сплачується податковими агентами, із доходів платника податку інших ніж заробітна плата  </t>
  </si>
  <si>
    <t>Податок на доходи фізичних осіб, що сплачується фізичними особами за результатами річного декларування</t>
  </si>
  <si>
    <t>11010500</t>
  </si>
  <si>
    <t>Податок на доходи фізичних осіб із доходів спеціалістів резидента Дія Сіті</t>
  </si>
  <si>
    <t>11011200</t>
  </si>
  <si>
    <t>Податок на доходи фізичних осіб у вигляді мінімального податкового зобов’язання, що підлягає сплаті фізичними особами</t>
  </si>
  <si>
    <t>11011300</t>
  </si>
  <si>
    <t>Податок на прибуток підприємств</t>
  </si>
  <si>
    <t xml:space="preserve">Податок на прибуток підприємств та фінансових установ комунальної власності  </t>
  </si>
  <si>
    <t>Авансові внески з податку на прибуток підприємств та фінансових установ комунальної власності</t>
  </si>
  <si>
    <t>Податки на власність</t>
  </si>
  <si>
    <t xml:space="preserve">Податок з власників транспортних засобів та  інших самохідних машин і механізмів </t>
  </si>
  <si>
    <t>Надходження сум реструктурованої заборгованості зі сплати податку власниками транспортних засобів та інших самохідних машин і механізмів  </t>
  </si>
  <si>
    <t>Рентна плата та плата за використання інших природних ресурсів </t>
  </si>
  <si>
    <t>Рентна плата за спеціальне використання лісових ресурсів</t>
  </si>
  <si>
    <t>Рентна плата за спеціальне використання води </t>
  </si>
  <si>
    <t>Рентна плата за користування надрами </t>
  </si>
  <si>
    <t>Рентна плата за користування надрами місцевого значення</t>
  </si>
  <si>
    <t>Внутрішні податки на товари та послуги  </t>
  </si>
  <si>
    <t>14000000</t>
  </si>
  <si>
    <t>Акцизний податок з вироблених в Україні підакцизних товарів (продукції)</t>
  </si>
  <si>
    <t>14020000</t>
  </si>
  <si>
    <t>Пальне</t>
  </si>
  <si>
    <t>14021900</t>
  </si>
  <si>
    <t>Акцизний податок з ввезених на митну територію України підакцизних товарів (продукції) </t>
  </si>
  <si>
    <t>14030000</t>
  </si>
  <si>
    <t>14031900</t>
  </si>
  <si>
    <t>Акцизний податок з реалізації суб'єктами господарювання роздрібної торгівлі підакцизних товарів </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</si>
  <si>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</si>
  <si>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14040100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</si>
  <si>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</si>
  <si>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14040200</t>
  </si>
  <si>
    <t>Акцизний податок з вироблених в Україні підакцизних товарів (продукції), включаючи особливий податок на операції з відчудження цінних паперів а операцій з деравативами</t>
  </si>
  <si>
    <t>Плата за ліцензії на певні види гоподарської діяльності</t>
  </si>
  <si>
    <t>Податок на промисел</t>
  </si>
  <si>
    <t xml:space="preserve">Плата за видачу ліцензій та сертифікатів </t>
  </si>
  <si>
    <t xml:space="preserve">Плата за державну реєстрацію суб’єктів підприємницької діяльності  </t>
  </si>
  <si>
    <t>Плата за державну реєстрацію, крім плати за реєстрацію суб'єктів підприємницької діяльності</t>
  </si>
  <si>
    <t xml:space="preserve">Плата за ліцензії на право оптової торгівлі алкогольними напоями та тютюновими виробами </t>
  </si>
  <si>
    <t xml:space="preserve">Плата за ліцензії на право роздрібної торгівлі алкогольними напоями та тютюновими виробами </t>
  </si>
  <si>
    <t>Плата за торговий патент на деякі види підприємницької діяльності</t>
  </si>
  <si>
    <t>Плата за придбання торгових патентів пунктами продажу нафтопродуктів</t>
  </si>
  <si>
    <t xml:space="preserve">Окремі податки і збори, що зараховуються до місцевих бюджетів </t>
  </si>
  <si>
    <t>Місцеві податки і збори, нараховані до 1 січня 2011 року</t>
  </si>
  <si>
    <t>Надходження плати за надання послуг з оформленням документів на право виїзду за кордон</t>
  </si>
  <si>
    <t>Податки, не віднесені до інших категорій</t>
  </si>
  <si>
    <t>Штрафи та санкції, сплачені за порушення податкового законодавства</t>
  </si>
  <si>
    <t>Інші податки</t>
  </si>
  <si>
    <t xml:space="preserve">Фіксований сільськогосподарський податок  </t>
  </si>
  <si>
    <t>Єдиний податок для суб'єктів малого підприємництва</t>
  </si>
  <si>
    <t>Єдиний податок на підприємницьку діяльність з юридичних осіб</t>
  </si>
  <si>
    <t>Єдиний податок на підприємницьку діяльність з фізичних осіб</t>
  </si>
  <si>
    <t>Єдиний податок з підприємств</t>
  </si>
  <si>
    <t>Місцеві податки і збори</t>
  </si>
  <si>
    <t>Податок на майно</t>
  </si>
  <si>
    <t>Податок на нерухоме майно</t>
  </si>
  <si>
    <t>18010100-18010400</t>
  </si>
  <si>
    <t xml:space="preserve">Плата за землю </t>
  </si>
  <si>
    <t>18010500-18010900</t>
  </si>
  <si>
    <t>Транспортний податок</t>
  </si>
  <si>
    <t>18011000-18011100</t>
  </si>
  <si>
    <t>Збір за місця для паркування транспортних засобів</t>
  </si>
  <si>
    <t>Туристичний збір</t>
  </si>
  <si>
    <t>Туристичний збір, сплачений юридичними особами </t>
  </si>
  <si>
    <t>18030100</t>
  </si>
  <si>
    <t>Туристичний збір, сплачений фізичними особами </t>
  </si>
  <si>
    <t>18030200</t>
  </si>
  <si>
    <t>Збір за провадження деяких видів підприємницької діяльності, що справлявся до 1 січня 2015 року </t>
  </si>
  <si>
    <t>Єдиний податок</t>
  </si>
  <si>
    <t>Єдиний податок з юридичних осіб </t>
  </si>
  <si>
    <t>18050300</t>
  </si>
  <si>
    <t>Єдиний податок з фізичних осіб </t>
  </si>
  <si>
    <t>18050400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</si>
  <si>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</si>
  <si>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18050500</t>
  </si>
  <si>
    <t>Інші податки та збори</t>
  </si>
  <si>
    <t>Екологічний податок</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</si>
  <si>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</si>
  <si>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19010100</t>
  </si>
  <si>
    <t>Надходження від скидів забруднюючих речовин безпосередньо у водні об`єкти </t>
  </si>
  <si>
    <t>19010200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</si>
  <si>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</si>
  <si>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19010300</t>
  </si>
  <si>
    <t>Збір за забруднення навколишнього природного середовища</t>
  </si>
  <si>
    <t>Неподаткові надходження</t>
  </si>
  <si>
    <t xml:space="preserve">Доходи від  власності та підприємницької діяльності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</si>
  <si>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</si>
  <si>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 xml:space="preserve">Плата за розміщення тимчасово вільних коштів місцевих бюджетів </t>
  </si>
  <si>
    <t>Надходження  дивідендів (частини прибутку) від суб'єктів підприємницької діяльності</t>
  </si>
  <si>
    <t>Дивіденди, одержані від акцій, що належать держані в акціонерних товариствах, створених у процесі приватизації та корпоратизації підприємств державної власності</t>
  </si>
  <si>
    <t>Надходження коштів від приватизації державного майна</t>
  </si>
  <si>
    <t>Надходження коштів від приватизації майна, яке належить Автономній Республіці Крим та майна, що знаходиться у комунальній власності</t>
  </si>
  <si>
    <t>Інші надходження</t>
  </si>
  <si>
    <t>Інші надходження </t>
  </si>
  <si>
    <t>21080500</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</si>
  <si>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t>
  </si>
  <si>
    <t>21080900</t>
  </si>
  <si>
    <t>Адміністративні штрафи та інші санкції </t>
  </si>
  <si>
    <t>21081100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</si>
  <si>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</si>
  <si>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21081500</t>
  </si>
  <si>
    <t>Адміністративні штрафи за адміністративні правопорушення у сфері забезпечення безпеки дорожнього руху, зафіксовані в автоматичному режимі</t>
  </si>
  <si>
    <t>21081800</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</si>
  <si>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</si>
  <si>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21082400</t>
  </si>
  <si>
    <t>Надходження від розміщення тимчасово вільних коштів бюджету на депозитних  рахунках в установах банків</t>
  </si>
  <si>
    <t>Надходження коштів від відшкодування втрат сільськогосподарського і лісогосподарського виробництва</t>
  </si>
  <si>
    <t xml:space="preserve">Адміністративні збори та платежі, доходи від некомерційної господарської діяльності </t>
  </si>
  <si>
    <t xml:space="preserve">Плата за надання адміністративних послуг  </t>
  </si>
  <si>
    <t>Адміністративний збір за проведення державної реєстрації юридичних осіб,  фізичних осіб – підприємців та громадських формувань</t>
  </si>
  <si>
    <t>22010300</t>
  </si>
  <si>
    <t>Плата за надання інших адміністративних послуг</t>
  </si>
  <si>
    <t>22012500</t>
  </si>
  <si>
    <t>Адміністративний збір за державну реєстрацію речових прав на нерухоме майно та їх обтяжень</t>
  </si>
  <si>
    <t>22012600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</si>
  <si>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</si>
  <si>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22012900</t>
  </si>
  <si>
    <t>Плата за утримання дітей у школах-інтернатах</t>
  </si>
  <si>
    <t>Плата від осіб, поміщених у медичні витверезники</t>
  </si>
  <si>
    <t>Плата за утримання вихованців спеціальних шкіл та спеціальних профтехучилищ</t>
  </si>
  <si>
    <t>Плата за надання послуг службою дозвільної системи органів внутрішніх справ</t>
  </si>
  <si>
    <t>Надходження від орендної плати за користування цілісним майновим комплексом та іншим державним майном  </t>
  </si>
  <si>
    <t>Державне мито</t>
  </si>
  <si>
    <t>22090100</t>
  </si>
  <si>
    <t>Державне мито, не віднесене до інших категорій  </t>
  </si>
  <si>
    <t>22090200</t>
  </si>
  <si>
    <t>Державне мито, пов`язане з видачею та оформленням закордонних паспортів (посвідок) та паспортів громадян України  </t>
  </si>
  <si>
    <t>22090400</t>
  </si>
  <si>
    <t>Надходження від штрафів та фінансових санкцій</t>
  </si>
  <si>
    <t>Суми, стягнені з винних осіб, за шкоду, заподіяну підприємству , установі організації</t>
  </si>
  <si>
    <t>Адміністративні штрафи та інші санкції</t>
  </si>
  <si>
    <t>Інші неподаткові надходження</t>
  </si>
  <si>
    <t>Надходження сум кредиторської та депонентської заборгованості підприємств, організацій та установ, щодо яких минув строк позовної давності</t>
  </si>
  <si>
    <t>Інші надходження  </t>
  </si>
  <si>
    <t>24060300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</si>
  <si>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</si>
  <si>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24062200</t>
  </si>
  <si>
    <t>Надходження сум перевищення фактичного фонду споживання над розрахунковим</t>
  </si>
  <si>
    <t>Доходи від операцій з кредитування та надання гарантій</t>
  </si>
  <si>
    <t>Плата за гарантії, надані Верховною Радою Автономної Республіки Крим, міськими та обласними радами</t>
  </si>
  <si>
    <t>24110700</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</si>
  <si>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</si>
  <si>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24110900</t>
  </si>
  <si>
    <t>Відсотки за користування пільговим довгостроковим кредитом, що надається з місцевих бюджетів, внутрішньо переміщеним особам, учасникам проведення антитерористичної операції (АТО) та/або учасникам проведення операції Об`єднаних сил (ООС) на будівництво або придбання житла, і пеня за порушення строку платежу з погашення кредиту</t>
  </si>
  <si>
    <t>24111200</t>
  </si>
  <si>
    <t>Надходження коштів пайової участі у розвитку інфраструктури населеного пункту</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</si>
  <si>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</si>
  <si>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</si>
  <si>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 </t>
  </si>
  <si>
    <t>25010100</t>
  </si>
  <si>
    <t>Надходження бюджетних установ від додаткової (господарської) діяльності </t>
  </si>
  <si>
    <t>25010200</t>
  </si>
  <si>
    <t>Плата за оренду майна бюджетних установ, що здійснюється відповідно до Закону України «Про оренду державного та комунального майна»</t>
  </si>
  <si>
    <t>25010300</t>
  </si>
  <si>
    <t>Надходження бюджетних установ від реалізації в установленому порядку майна (крім нерухомого майна) </t>
  </si>
  <si>
    <t>25010400</t>
  </si>
  <si>
    <t>Інші джерела власних надходжень бюджетних установ</t>
  </si>
  <si>
    <t>Благодійні внески, гранти та дарунки </t>
  </si>
  <si>
    <t>25020100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</si>
  <si>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</si>
  <si>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Доходи від операцій з капіталом</t>
  </si>
  <si>
    <t>Надходження від продажу основного капіталу  </t>
  </si>
  <si>
    <t>31000000</t>
  </si>
  <si>
    <t>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</si>
  <si>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 xml:space="preserve">Надходження коштів від Державного фонду дорогоцінних металів і дорогоцінного каміння                        </t>
  </si>
  <si>
    <t>Кошти від відчуження майна, що належить Автономній Республіці Крим та майна, що перебуває в комунальній власності</t>
  </si>
  <si>
    <t xml:space="preserve">Кошти від продажу землі і нематеріальних активів       </t>
  </si>
  <si>
    <t>Кошти від продажу землі</t>
  </si>
  <si>
    <t>Цільові фонди</t>
  </si>
  <si>
    <t>Збір за забруднення навколишнього природного середовища до Фонду охорони навколишнього природного середовища</t>
  </si>
  <si>
    <t>Надходження відрахувань та збору на будівництво, реконструкцію, ремонт і утримання автомобільних доріг загального користування</t>
  </si>
  <si>
    <t>Інші фонди</t>
  </si>
  <si>
    <t>Надходження коштів до Державного фонду приватизації</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</si>
  <si>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</si>
  <si>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Надходження в рамках програм допомоги урядів іноземних держав, міжнародних організацій, донорських установ</t>
  </si>
  <si>
    <t xml:space="preserve">Разом доходів </t>
  </si>
  <si>
    <t>Офіційні трансферти</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</si>
  <si>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</si>
  <si>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</si>
  <si>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41021400</t>
  </si>
  <si>
    <t>Cубвенції з державного бюджету місцевим бюджетам</t>
  </si>
  <si>
    <t>Субвенції з інших бюджетів на виконання інвестеційних проектів</t>
  </si>
  <si>
    <t>Субвенція на виконання власних повноважень територіальної громади міста</t>
  </si>
  <si>
    <t xml:space="preserve">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 </t>
  </si>
  <si>
    <t>Субвенція з державного бюджету місцевим бюджетам на реалізацію інфраструктурних проектів та розвиток об'єктів соціально-культурної сфери</t>
  </si>
  <si>
    <t>Субвенція з державного бюджету місцевим бюджетам на розвиток комунальної інфраструктури, у тому числі на придбання комунальної техніки</t>
  </si>
  <si>
    <t xml:space="preserve">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</si>
  <si>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Субвенція з державного бюджету місцевим бюджетам на відшкодування вартості лікарських засобів для лікування окремих захворювань</t>
  </si>
  <si>
    <t>Субвенція з державного бюджету місцевим бюджетам на придбання обладнання, модернізацію (проведення реконструкції та капітального ремонту) їдалень (харчоблоків) закладів загальної середньої освіти</t>
  </si>
  <si>
    <t>41033500</t>
  </si>
  <si>
    <t>Субвенція іншим місцевим бюджетам на модернізацію та оновлення матеріально-технічноє бази професійно-технічних навчальних закладів державноє форми власності</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</si>
  <si>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</si>
  <si>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Освітня субвенція з державного бюджету місцевим бюджетам</t>
  </si>
  <si>
    <t xml:space="preserve">Медична субвенція з державного бюджету місцевим бюджетам </t>
  </si>
  <si>
    <t>Субвенція з державного бюджету місцевим бюджетам на здійснення заходів щодо соціально-економічного розвитку окремих територій</t>
  </si>
  <si>
    <t>Дотації з місцевих бюджетів іншим місцевим бюджетам</t>
  </si>
  <si>
    <t>Дотація з місцевого бюджет уна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</si>
  <si>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Інші дотації з місцевого бюджету</t>
  </si>
  <si>
    <t>Субвенції з місцевих бюджетів іншим місцевим бюджетам</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</si>
  <si>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</si>
  <si>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</si>
  <si>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допомоги сім'ям з дітьми, малозабезпеченим сім'ям, особам,які не мають права на пенсію,особам з інвалідністю,дітям з інвалідністю, тимчасової державної допомоги дітям,тимчасової державної соціальної допомоги непрацюючій особі,яка досягла загального пенсійного віку,але не набула права на пенсійну виплату, допомоги по догляду за особами з інвалідністю I чи II групи внаслідок психічного розладу,компенсаційної виплати непрацюючій працездатній особі, яка доглядає за особою з інвалідністю І групи,а також за особою, яка досягла 80-річного віку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</si>
  <si>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І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</si>
  <si>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</si>
  <si>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</si>
  <si>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</si>
  <si>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</si>
  <si>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</si>
  <si>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</si>
  <si>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надання державної підтримки особам з особливими потребами за рахунок відповідної субвенції з державного бюджету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</si>
  <si>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</si>
  <si>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здійснення переданих видатків у сфері охорони здоров’я за рахунок коштів медичної субвенції</t>
  </si>
  <si>
    <t>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</si>
  <si>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Субвенція з місцевого бюджету на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відповідної субвенції з державного бюджету</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</si>
  <si>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</si>
  <si>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Субвенція з місцевого бюджету на здійснення природоохоронних заходів</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</si>
  <si>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</si>
  <si>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Інші субвенції з місцевого бюджету</t>
  </si>
  <si>
    <t>Субвенція за рахунок залишку коштів освітньоє субвенціє з державного бюджету місцевим бюджетам, що утворилась на початок бюджетного періоду</t>
  </si>
  <si>
    <t>Субвенція за рахунок залишку коштів медичноє субвенціє з державного бюджету місцевим бюджетам, що утворилась на початок бюджетного періоду</t>
  </si>
  <si>
    <t>Субвенція з державного бюджету місцевим бюджетам на надання державної підтримки особам з особливими освітніми потребами</t>
  </si>
  <si>
    <t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t>
  </si>
  <si>
    <t>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t>
  </si>
  <si>
    <t>Субвенція з державного бюджету місцевим бюджетам на проведення виборів народних депутатів Верховної ради АР Крим, місцевих рад та сільських, селищних, міських голів</t>
  </si>
  <si>
    <t xml:space="preserve">Субвенція з державного бюджету місцевим бюджетам на погашення заборгованості з різниці в тарифах на теплову енергію….що затверджувалися та/або погоджувалися органами державної влади чи місцевого самоврядування </t>
  </si>
  <si>
    <t>Субвенція з державного бюджету місцевим бюджетам на часткове фінансування дитячо-юнацьких спортивних шкіл, які до 2015 року отримували підтримку з Фонду соціального страхування з тимчасовоє втрати працездатності</t>
  </si>
  <si>
    <t>Субвенція з державного бюджету бюджету Городенківського району Івано-Франківської області на проведення ремонту та реконструкції приміщень клубу в с. Тишківці</t>
  </si>
  <si>
    <t>Субвенція з державного бюджету місцевим бюджетам на придбання вагонів комунального електротранспорту (тролейбусів і трамваїв)</t>
  </si>
  <si>
    <t>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t>
  </si>
  <si>
    <t>Субвенція з державного бюджету місцевим бюджетам на проведення виборів депутатів місцевих рад та сільських, селищних, міських голів</t>
  </si>
  <si>
    <t>З іншої частини бюджету</t>
  </si>
  <si>
    <t>Кошти, одержані із загального фонду бюджету до бюджету розвитку (спеціального фонду)</t>
  </si>
  <si>
    <t>Субвенція з державного бюджету місцевим на реалізацію проектів розвитку регіонів</t>
  </si>
  <si>
    <t>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пунктами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</si>
  <si>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</si>
  <si>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реалізацію заходів, спрямованих на підвищення якості освіти за рахунок відповідної субвенції з державного бюджету</t>
  </si>
  <si>
    <t>Субвенція з місцевого бюджету на здійснення підтримки оеремих закладів та заходів у системі охорони здоров'я за рахунок відповідної субвенції з державного бюджету</t>
  </si>
  <si>
    <t>Субвенція з місцевого бюджету на реалізацію проектів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</si>
  <si>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 xml:space="preserve">Всього доходів </t>
  </si>
  <si>
    <t>2.ВИДАТКИ:</t>
  </si>
  <si>
    <t>2.1 Видатки за типовою класифікацією</t>
  </si>
  <si>
    <t>Державне управління</t>
  </si>
  <si>
    <t>0100</t>
  </si>
  <si>
    <t>Функціонування законодавчої влади</t>
  </si>
  <si>
    <t>010100</t>
  </si>
  <si>
    <t>Апарат Верховної Ради Автономної Республіки Крим</t>
  </si>
  <si>
    <t>010102</t>
  </si>
  <si>
    <t>Забезпечення діяльності народних депутатів</t>
  </si>
  <si>
    <t>010103</t>
  </si>
  <si>
    <t>Інші видатки</t>
  </si>
  <si>
    <t>010105</t>
  </si>
  <si>
    <t>Апарат Рахункової палати Верховної Ради Автономної Республіки Крим</t>
  </si>
  <si>
    <t>010108</t>
  </si>
  <si>
    <t>Керівництво і управління у відповідній сфері у містах республіканського Автономної Республіки Крим та обласного значення</t>
  </si>
  <si>
    <t>0160</t>
  </si>
  <si>
    <t xml:space="preserve">Інша діяльність у сфері державного управління </t>
  </si>
  <si>
    <t>0180</t>
  </si>
  <si>
    <t>Проведення місцевих виборів та референдумів, забезпечення діяльності виборчої комісії Автономної Республіки Крим</t>
  </si>
  <si>
    <t>0190</t>
  </si>
  <si>
    <t>Освіта</t>
  </si>
  <si>
    <t>1000</t>
  </si>
  <si>
    <t>Охорона здоров’я</t>
  </si>
  <si>
    <t>2000</t>
  </si>
  <si>
    <t>Соціальний захист та соціальне забезпечення</t>
  </si>
  <si>
    <t>3000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</si>
  <si>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</si>
  <si>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3030</t>
  </si>
  <si>
    <t>Надання інших пільг окремим категоріям громадян відповідно до законодавства</t>
  </si>
  <si>
    <t>3031</t>
  </si>
  <si>
    <t>Надання пільг окремим категоріям громадян з оплати послуг зв'язку</t>
  </si>
  <si>
    <t>3032</t>
  </si>
  <si>
    <t>Компенсаційні виплати за пільговий проїзд окремих категорій громадян на залізничному транспорті</t>
  </si>
  <si>
    <t>3035</t>
  </si>
  <si>
    <t>Компенсаційні виплати на пільговий проїзд електротранспортом окремим категоріям громадян</t>
  </si>
  <si>
    <t>3036</t>
  </si>
  <si>
    <t>Пільгове медичне обслуговування осіб, які постраждали внаслідок Чорнобильської катастрофи</t>
  </si>
  <si>
    <t>3050</t>
  </si>
  <si>
    <t>Видатки на поховання учасників бойових дій та осіб з інвалідністю внаслідок війни</t>
  </si>
  <si>
    <t>3090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</si>
  <si>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</si>
  <si>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3100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</si>
  <si>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</si>
  <si>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3104</t>
  </si>
  <si>
    <t>Надання реабілітаційних послуг особам з інвалідністю та дітям з інвалідністю</t>
  </si>
  <si>
    <t>3105</t>
  </si>
  <si>
    <t>Заходи державної політики з питань дітей та їх соціального захисту</t>
  </si>
  <si>
    <t>3112</t>
  </si>
  <si>
    <t>Утримання та забезпечення діяльності центрів соціальних служб для сім’ї, дітей та молоді</t>
  </si>
  <si>
    <t>3121</t>
  </si>
  <si>
    <t>Реалізація державної політики у молодіжній сфері</t>
  </si>
  <si>
    <t>3130</t>
  </si>
  <si>
    <t>Інші заходи та заклади молодіжної політики</t>
  </si>
  <si>
    <t>3133</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</si>
  <si>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</si>
  <si>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</si>
  <si>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</si>
  <si>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</si>
  <si>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Забезпечення реалізації окремих програм для осіб з інвалідністю</t>
  </si>
  <si>
    <t>3170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</si>
  <si>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</si>
  <si>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</si>
  <si>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Встановлення телефонів особам з інвалідністю I і II груп</t>
  </si>
  <si>
    <t>3172</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</si>
  <si>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</si>
  <si>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3180</t>
  </si>
  <si>
    <t>Соціальний захист ветеранів війни та праці</t>
  </si>
  <si>
    <t>3190</t>
  </si>
  <si>
    <t>Надання фінансової підтримки громадським організаціям ветеранів і осіб з інвалідністю, діяльність яких має соціальну спрямованість</t>
  </si>
  <si>
    <t>3192</t>
  </si>
  <si>
    <t>Організація та проведення громадських робіт</t>
  </si>
  <si>
    <t>3210</t>
  </si>
  <si>
    <t>Грошова компенсація за належні для отримання жилі приміщення для окремих категорій населення відповідно до законодавства</t>
  </si>
  <si>
    <t>3220</t>
  </si>
  <si>
    <t>Грошова компенсація за належні для отримання жилі приміщення для сімей осіб, визначених пунктами 2 - 5 частини першої статті 10 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</si>
  <si>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</si>
  <si>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</si>
  <si>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3222</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</si>
  <si>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</si>
  <si>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3223</t>
  </si>
  <si>
    <t>Видатки, пов`язані з наданням підтримки внутрішньо переміщеним та/або евакуйованим особам у зв`язку із введенням воєнного стану</t>
  </si>
  <si>
    <t>3230</t>
  </si>
  <si>
    <t>Інші заклади та заходи</t>
  </si>
  <si>
    <t>3240</t>
  </si>
  <si>
    <t>Забезпечення діяльності інших закладів у сфері соціального захисту і соціального забезпечення</t>
  </si>
  <si>
    <t>3241</t>
  </si>
  <si>
    <t>Інші заходи у сфері соціального захисту і соціального забезпечення</t>
  </si>
  <si>
    <t>3242</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</si>
  <si>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</si>
  <si>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3181</t>
  </si>
  <si>
    <t>Компенсаційні виплати інвалідам на бензин, ремонт, технічне обслуговування автомобілів, мотоколясок і на транспортне обслуговування</t>
  </si>
  <si>
    <t>3182</t>
  </si>
  <si>
    <t>Встановлення телефонів інвалідам I і II груп</t>
  </si>
  <si>
    <t>3183</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</si>
  <si>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</si>
  <si>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Надання фінансової підтримки громадським організаціям інвалідів і ветеранів, діяльність яких має соціальну спрямованість</t>
  </si>
  <si>
    <t>3202</t>
  </si>
  <si>
    <t>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t>
  </si>
  <si>
    <t>3250</t>
  </si>
  <si>
    <t>Інші видатки на соціальний захист населення</t>
  </si>
  <si>
    <t>3400</t>
  </si>
  <si>
    <t>Культура і мистецтво</t>
  </si>
  <si>
    <t>4000</t>
  </si>
  <si>
    <t>Забезпечення діяльності бібліотек</t>
  </si>
  <si>
    <t>4030</t>
  </si>
  <si>
    <t>Забезпечення діяльності музеїв i виставок</t>
  </si>
  <si>
    <t>4040</t>
  </si>
  <si>
    <t>Забезпечення діяльності палаців i будинків культури, клубів, центрів дозвілля та iнших клубних закладів</t>
  </si>
  <si>
    <t>4060</t>
  </si>
  <si>
    <t>Інші заклади та заходи в галузі культури і мистецтва</t>
  </si>
  <si>
    <t>4080</t>
  </si>
  <si>
    <t>Забезпечення діяльності інших закладів в галузі культури і мистецтва</t>
  </si>
  <si>
    <t>4081</t>
  </si>
  <si>
    <t>Інші заходи в галузі культури і мистецтва</t>
  </si>
  <si>
    <t>4082</t>
  </si>
  <si>
    <t>Фізична культура і спорт</t>
  </si>
  <si>
    <t>5000</t>
  </si>
  <si>
    <t>Житлово-комунальне господарство</t>
  </si>
  <si>
    <t>6000</t>
  </si>
  <si>
    <t>Житлово-експлуатаційне господарство</t>
  </si>
  <si>
    <t>100101</t>
  </si>
  <si>
    <t>Дотація житлово-комунальному господарству</t>
  </si>
  <si>
    <t>100103</t>
  </si>
  <si>
    <t>Видатки на утримання об`єктів соціальної сфери підприємств,що передаються до комунальної власності</t>
  </si>
  <si>
    <t>100105</t>
  </si>
  <si>
    <t>Утримання та ефективна експлуатація об’єктів житлово-комунального господарства</t>
  </si>
  <si>
    <t>6010</t>
  </si>
  <si>
    <t>Експлуатація та технічне обслуговування житлового фонду</t>
  </si>
  <si>
    <t>6011</t>
  </si>
  <si>
    <t>Забезпечення діяльності з виробництва, транспортування, постачання теплової енергії</t>
  </si>
  <si>
    <t>6012</t>
  </si>
  <si>
    <t>Забезпечення діяльності водопровідно-каналізаційного господарства</t>
  </si>
  <si>
    <t>6013</t>
  </si>
  <si>
    <t>Забезпечення надійної та безперебійної експлуатації ліфтів</t>
  </si>
  <si>
    <t>6015</t>
  </si>
  <si>
    <t>Організація благоустрою населених пунктів</t>
  </si>
  <si>
    <t>6030</t>
  </si>
  <si>
    <t>Заходи, пов'язані з поліпшенням питної води</t>
  </si>
  <si>
    <t>6040</t>
  </si>
  <si>
    <t>Регулювання цін/тарифів на житлово-комунальні послуги</t>
  </si>
  <si>
    <t>6070</t>
  </si>
  <si>
    <t>Реалізація державних та місцевих житлових програм</t>
  </si>
  <si>
    <t>6080</t>
  </si>
  <si>
    <t>Газові заводи і газова мережа</t>
  </si>
  <si>
    <t>100205</t>
  </si>
  <si>
    <t>Берегоукріплювальні роботи</t>
  </si>
  <si>
    <t>Видатки на впровадження засобів обліку витрат на регулювання споживання  води та теплової енергії</t>
  </si>
  <si>
    <t>100208</t>
  </si>
  <si>
    <t>Інша діяльність у сфері житлово-комунального господарства</t>
  </si>
  <si>
    <t>6090</t>
  </si>
  <si>
    <t>Будівництво та регіональний розвиток</t>
  </si>
  <si>
    <t>7300</t>
  </si>
  <si>
    <t>Будівництво об'єктів житлово-комунального господарства</t>
  </si>
  <si>
    <t>7310</t>
  </si>
  <si>
    <t>Будівництво об'єктів соціально-культурного призначення</t>
  </si>
  <si>
    <t>7320</t>
  </si>
  <si>
    <t>Розроблення схем планування та забудови територій (містобудівної документації)</t>
  </si>
  <si>
    <t>7350</t>
  </si>
  <si>
    <t>Виконання інвестиційних проектів</t>
  </si>
  <si>
    <t>7360</t>
  </si>
  <si>
    <t>Реалізація інших заходів щодо соціально-економічного розвитку територій</t>
  </si>
  <si>
    <t>7370</t>
  </si>
  <si>
    <t>Будівництво</t>
  </si>
  <si>
    <t>6300</t>
  </si>
  <si>
    <t>0,0,</t>
  </si>
  <si>
    <t>Реалізація заходів щодо інвестиційного розвитку території</t>
  </si>
  <si>
    <t>6310</t>
  </si>
  <si>
    <t>Будівництво освітніх установ та закладів</t>
  </si>
  <si>
    <t>7321</t>
  </si>
  <si>
    <t>Будівництво інших об'єктів комунальної власності</t>
  </si>
  <si>
    <t>7330</t>
  </si>
  <si>
    <t>Проектування, реставрація та охорона пам'яток архітектури</t>
  </si>
  <si>
    <t>7340</t>
  </si>
  <si>
    <t>Реалізація проектів в рамках Надзвичайної кредитної програми для відновлення України</t>
  </si>
  <si>
    <t>7366</t>
  </si>
  <si>
    <t>Виконання інвестиційних проектів за рахунок інших субвенцій з державного бюджету</t>
  </si>
  <si>
    <t>7380</t>
  </si>
  <si>
    <t>Транспорт та транспортна інфраструктура, дорожнє господарство</t>
  </si>
  <si>
    <t>7400</t>
  </si>
  <si>
    <t>Інші заходи у сфері електротранспорту</t>
  </si>
  <si>
    <t>7426</t>
  </si>
  <si>
    <t>Інша діяльність у сфері транспорту</t>
  </si>
  <si>
    <t>7450</t>
  </si>
  <si>
    <t>Утримання та розвиток автомобільних доріг та дорожньої інфраструктури за рахунок коштів місцевого бюджету</t>
  </si>
  <si>
    <t>7461</t>
  </si>
  <si>
    <t>Інша діяльність у сфері дорожнього господарства</t>
  </si>
  <si>
    <t>7470</t>
  </si>
  <si>
    <t>Зв`язок, телекомунікації та інформатика</t>
  </si>
  <si>
    <t>7530</t>
  </si>
  <si>
    <t>Інші програми та заходи, пов'язані з економічною діяльністю</t>
  </si>
  <si>
    <t>7600</t>
  </si>
  <si>
    <t>Сприяння розвитку малого та середнього підприємництва</t>
  </si>
  <si>
    <t>7610</t>
  </si>
  <si>
    <t>Реалізація програм і заходів в галузі туризму та курортів</t>
  </si>
  <si>
    <t>7622</t>
  </si>
  <si>
    <t>Заходи з енергозбереження</t>
  </si>
  <si>
    <t>7640</t>
  </si>
  <si>
    <t>Проведення експертної грошової оцінки земельної ділянки чи права на неї</t>
  </si>
  <si>
    <t>7650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</si>
  <si>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</si>
  <si>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7660</t>
  </si>
  <si>
    <t>Внески до статутного капіталу суб’єктів господарювання</t>
  </si>
  <si>
    <t>7670</t>
  </si>
  <si>
    <t>Членські внески до асоціацій органів місцевого самоврядування</t>
  </si>
  <si>
    <t>7680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</si>
  <si>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</si>
  <si>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7691</t>
  </si>
  <si>
    <t>Інша діяльність</t>
  </si>
  <si>
    <t>8000</t>
  </si>
  <si>
    <t>Захист населення і територій від надзвичайних ситуацій техногенного та природного характеру</t>
  </si>
  <si>
    <t>8100</t>
  </si>
  <si>
    <t>Заходи із запобігання та ліквідації надзвичайних ситуацій та наслідків стихійного лиха</t>
  </si>
  <si>
    <t>8110</t>
  </si>
  <si>
    <t>Заходи з організації рятування на водах</t>
  </si>
  <si>
    <t>8120</t>
  </si>
  <si>
    <t>Громадський порядок та безпека</t>
  </si>
  <si>
    <t>8200</t>
  </si>
  <si>
    <t>Заходи та роботи з мобілізаційної підготовки місцевого значення</t>
  </si>
  <si>
    <t>8220</t>
  </si>
  <si>
    <t>Заходи та роботи з територіальної оборони</t>
  </si>
  <si>
    <t>8240</t>
  </si>
  <si>
    <t>Охорона навколишнього природного середовища</t>
  </si>
  <si>
    <t>8300</t>
  </si>
  <si>
    <t>Запобігання та ліквідація забруднення навколишнього природного середовища</t>
  </si>
  <si>
    <t>8310</t>
  </si>
  <si>
    <t>Утилізація відходів</t>
  </si>
  <si>
    <t>8312</t>
  </si>
  <si>
    <t>Інша діяльність у сфері екології та охорони природних ресурсів</t>
  </si>
  <si>
    <t>8330</t>
  </si>
  <si>
    <t>Природоохоронні заходи за рахунок цільових фондів</t>
  </si>
  <si>
    <t>8340</t>
  </si>
  <si>
    <t>Засоби масової інформації</t>
  </si>
  <si>
    <t>8400</t>
  </si>
  <si>
    <t>Телебачення і радіомовлення</t>
  </si>
  <si>
    <t>120100</t>
  </si>
  <si>
    <t>Фінансова підтримка засобів масової інформації</t>
  </si>
  <si>
    <t>8410</t>
  </si>
  <si>
    <t>Інші заходи у сфері засобів масової інформації</t>
  </si>
  <si>
    <t>8420</t>
  </si>
  <si>
    <t>Промисловість та енергетика</t>
  </si>
  <si>
    <t>140000</t>
  </si>
  <si>
    <t>Павливно-енергетичний комплекс</t>
  </si>
  <si>
    <t>140100</t>
  </si>
  <si>
    <t xml:space="preserve">Державне регулювання цін на тверде паливо </t>
  </si>
  <si>
    <t>,</t>
  </si>
  <si>
    <t>Надання пільгового кредиту членам житлово-будівельних кооперативів</t>
  </si>
  <si>
    <t>Житлове будівництво і придбання житла військовослужбовцям та особам 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t>
  </si>
  <si>
    <t>Заходи з упередження аварій та запобігання техногенних катастроф у житлово-комунальному господарстві та на інших аварійгних об'єктах комунальної власності</t>
  </si>
  <si>
    <t>Збереження, розвиток, реконструкція та реставрація пам'яток історії та культури</t>
  </si>
  <si>
    <t>Сільське господарство, лісове господарство, рибальство і мисливство</t>
  </si>
  <si>
    <t>Земельні ресурси</t>
  </si>
  <si>
    <t>Землеустрій</t>
  </si>
  <si>
    <t>Проведення  земельної реформи</t>
  </si>
  <si>
    <t>Водне господарство</t>
  </si>
  <si>
    <t>Експлуатація загальнодержавних і міжгосподарських державних меліоративних систем</t>
  </si>
  <si>
    <t>Сільськогосподарське виробництво</t>
  </si>
  <si>
    <t>Протиепізоотичні заходи</t>
  </si>
  <si>
    <t>Лісове господарство і мисливство</t>
  </si>
  <si>
    <t>Риболовецьке господарство</t>
  </si>
  <si>
    <t>Діяльність і послуги в галузі сільського господарства, лісового господарства, рибальства і мисливства, котрі не віднесені до інших категорій</t>
  </si>
  <si>
    <t>Інші заходи та заклади в галузі сільського господарства,лісового господарства, рибальства і мисливства</t>
  </si>
  <si>
    <t>Фінансування бюджетних установ агропромислогово комплексу</t>
  </si>
  <si>
    <t>Автомобільний транспорт</t>
  </si>
  <si>
    <t>Регулювання цін на послуги місцевого автотранспорту</t>
  </si>
  <si>
    <t>Компенсаційні виплати на пільговий проїзд автомобільним транспортом окремих категоріям громадян</t>
  </si>
  <si>
    <t>Водний транспорт</t>
  </si>
  <si>
    <t>Залізничний транспорт</t>
  </si>
  <si>
    <t>Регулювання цін на послуги міського електротранспорту</t>
  </si>
  <si>
    <t xml:space="preserve"> Інші послуги, пов'язані з економічною діяльністю</t>
  </si>
  <si>
    <t>Підтримка малого і середнього підприємництва</t>
  </si>
  <si>
    <t xml:space="preserve">Внески органів влади  Автономної Республіки Крим  та органів місцевого  самоврядування у статутні  капітали суб'єктів підприємницької діяльності </t>
  </si>
  <si>
    <t>Заходи, пов'язані з ліквідацією наслідків Чорнобильської катастрофи та соціальним захистом населення</t>
  </si>
  <si>
    <t>Охорона навколишнього природного середовища та ядерна безпека</t>
  </si>
  <si>
    <t>Охорона і раціональне використання водних ресурсів </t>
  </si>
  <si>
    <t>Охорона і раціональне використання земель</t>
  </si>
  <si>
    <t>Збереження природно-заповідного фонду </t>
  </si>
  <si>
    <t>Інші природоохоронні заходи</t>
  </si>
  <si>
    <t>Запобігання та ліквідація надзвичайних ситуацій та наслідків стихійного лиха</t>
  </si>
  <si>
    <t xml:space="preserve">Попередження та ліквідація надзвичайних ситуацій </t>
  </si>
  <si>
    <t>Видатки на запобігання та ліквідацію надзвичайних ситуацій та наслідків стихійного лиха</t>
  </si>
  <si>
    <t>Організація рятування на водах</t>
  </si>
  <si>
    <t>Війська цивільної оборони України</t>
  </si>
  <si>
    <t>Обслуговування боргу</t>
  </si>
  <si>
    <t>Резервний фонд</t>
  </si>
  <si>
    <t xml:space="preserve">Витрати, пов'язані з наданням та обслуговуванням пільгових довгострокових    кредитів, наданих громадянам на будівництво  (реконструкцію) та придбання житла   </t>
  </si>
  <si>
    <t>Видатки на реалізацію програм допомоги і грантів міжнародних фінансових організацій та Європейського Союзу</t>
  </si>
  <si>
    <t xml:space="preserve">Цільові фонди </t>
  </si>
  <si>
    <t>Охорона та раціональне використання природних ресурсів</t>
  </si>
  <si>
    <t>Інша діяльність у сфері охорони навколишнього природного середовища</t>
  </si>
  <si>
    <t>Збереження природно-заповідного фонду</t>
  </si>
  <si>
    <t>Субвенції з місцевого бюджету іншим місцевим бюджетам на здійснення програм та заходів за рахунок коштів місцевих бюджетів</t>
  </si>
  <si>
    <t>Субвенція іншим бюджетам на співфінансування інвестиційних проектів </t>
  </si>
  <si>
    <t>Субвенція з місцевого бюджету державному бюджету на виконання програм соціально-економічного розвитку регіонів</t>
  </si>
  <si>
    <t>Разом видатків</t>
  </si>
  <si>
    <t>Кошти, що передаються до Державного бюджету</t>
  </si>
  <si>
    <t>Кошти, що передаються за взаємними розрахунками до районних та міських  (міст республіканського і обласного значення) бюджетів з бюджету Автономної Республіки Крим, обласних та міських (міст Києва і Севастополя) бюджетів</t>
  </si>
  <si>
    <t>Кошти, що передаються із загального фонду бюджету до бюджету розвитку /спеціального фонду/</t>
  </si>
  <si>
    <t>Дотації вирівнювання, що передаються з районних та міських (міст Київа і Севастополя, містреспублік)</t>
  </si>
  <si>
    <t>Реверсна дотація</t>
  </si>
  <si>
    <t>Субвенція з місцевого бюджету іншим місцевим бюджетам на  здійснення програм та заходів за рахунок коштів місцевих бюджетів</t>
  </si>
  <si>
    <t>Субвенція з державного бюджету місцевим бюджетам на виплату допомоги сім'ям з дітьми, малозабезпеченим сім'ям та інвалідам з дитинства і дітям-інвалідам</t>
  </si>
  <si>
    <t>Субвенція з державного бюджету місцевим бюджетам на надання пільг та субсидій населенню на оплату електроенергії, природного газу, послуг тепло-, водопостачання і водовідведення та послуг зв'язку</t>
  </si>
  <si>
    <t>Субвенція з державного бюджету місцевим бюджетам на надання пільг на надання пільг ветеранам війни і праці, військової служби та ін. з послуг зв'язку та інших передбачених законодавством послуг та компенсацію за пільговий проїзд окремих категорій громадян</t>
  </si>
  <si>
    <t>Субвенція з місцевого бюджету державному бюджету на виконання програм соціально-економічного та культурного розвитку регіонів</t>
  </si>
  <si>
    <t>Капітальні трансферти органам державного управління іншіх рівнів</t>
  </si>
  <si>
    <t>Субвенція з державного бюджету місцевим бюджетам на часткове відшкодування вартості лікарських засобів для лікування осіб з гіпертанічною хворобою</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</si>
  <si>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</si>
  <si>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Інші субвенції</t>
  </si>
  <si>
    <t>Всього за типовою класифікацією видатків</t>
  </si>
  <si>
    <t>2.2. Видатки за економічною класифікацією</t>
  </si>
  <si>
    <t>Поточні видатки:</t>
  </si>
  <si>
    <t>Оплата праці і нарахування на заробітну плату</t>
  </si>
  <si>
    <t>Оплата праці</t>
  </si>
  <si>
    <t xml:space="preserve">            Заробітна плата</t>
  </si>
  <si>
    <t>Нарахування на оплату праці</t>
  </si>
  <si>
    <t>Використання товарів і послуг</t>
  </si>
  <si>
    <t xml:space="preserve">            Предмети, матеріали, обладнання та інвентар</t>
  </si>
  <si>
    <t xml:space="preserve">            Медикаменти та перев'язувальні матеріали</t>
  </si>
  <si>
    <t xml:space="preserve">            Продукти харчування</t>
  </si>
  <si>
    <t xml:space="preserve">            Оплата послуг (крім комунальних)</t>
  </si>
  <si>
    <t>Видатки на відрядження</t>
  </si>
  <si>
    <t>Оплата послуг з утримання бюджетних установ</t>
  </si>
  <si>
    <t>Оплата комунальних послуг та енергоносіїв</t>
  </si>
  <si>
    <t xml:space="preserve">           Оплата теплопостачання                                                                                                                                     </t>
  </si>
  <si>
    <t xml:space="preserve">           Оплата водопостачання і водовідведення</t>
  </si>
  <si>
    <t xml:space="preserve">           Оплата електроенергії</t>
  </si>
  <si>
    <t xml:space="preserve">           Оплата природного газу</t>
  </si>
  <si>
    <t>Оплата інших енергоносіїв та інших комунальних послуг</t>
  </si>
  <si>
    <t>Дослідження і розробки, окремі заходи по реалізації державних (регіональних) програм</t>
  </si>
  <si>
    <t>Дослідження і розробки, окремі заходи розвитку по реалізації державних (регіональних) програм</t>
  </si>
  <si>
    <t>Окремі заходи розвитку по реалізації державних (регіональних) програм, не віднесені до заходів розвитку</t>
  </si>
  <si>
    <t>Обслуговування боргових зобов'язань</t>
  </si>
  <si>
    <t>Обслуговування зовнішніх боргових зобов'язань</t>
  </si>
  <si>
    <t>Поточні трансферти</t>
  </si>
  <si>
    <t>Субсидії та поточні трансфертні підприємствам (установам, організаціям)</t>
  </si>
  <si>
    <t>Поточні трансферти органам державного управління інших рівнів</t>
  </si>
  <si>
    <t>Соціальне забезпечення</t>
  </si>
  <si>
    <t xml:space="preserve">            Виплати пенсій і допомоги</t>
  </si>
  <si>
    <t xml:space="preserve">            Стипендії</t>
  </si>
  <si>
    <t xml:space="preserve">            Інші виплати населенню</t>
  </si>
  <si>
    <t>Інші поточні видатки</t>
  </si>
  <si>
    <t>Капітальні видатки :</t>
  </si>
  <si>
    <t>Придбання основного капіталу</t>
  </si>
  <si>
    <t>Придбання обладнання і предметів довгострокового користування</t>
  </si>
  <si>
    <t>Капітальне будівництво (придбання)</t>
  </si>
  <si>
    <t xml:space="preserve">           Будівництво /придбання/ житла</t>
  </si>
  <si>
    <t>Капітальне будівництво (придбання)житла</t>
  </si>
  <si>
    <t xml:space="preserve">           Капітальне будівництво (придбання) інших об'єктів</t>
  </si>
  <si>
    <t>Капітальний ремонт</t>
  </si>
  <si>
    <t xml:space="preserve">           Капітальний ремонт житлового фонду (приміщень)</t>
  </si>
  <si>
    <t xml:space="preserve">           Капітальний ремонт інших об'єктів</t>
  </si>
  <si>
    <t>Реконструкція та реставрація</t>
  </si>
  <si>
    <t xml:space="preserve">           Реконструкція  та реставрація інших об'єктів</t>
  </si>
  <si>
    <t xml:space="preserve">           Реставрація пам'яток культури, історії та архітектури</t>
  </si>
  <si>
    <t>Придбання землі і нематеріальних активів</t>
  </si>
  <si>
    <t>Капітальні трансферти</t>
  </si>
  <si>
    <t>Капітальні трансферти підприємствам (установам, организаціям)</t>
  </si>
  <si>
    <t>Капітальні трансферти органам державного управління інших рівнів</t>
  </si>
  <si>
    <t>Капітальні трансферти населенню</t>
  </si>
  <si>
    <t>Нерозподілені видатки</t>
  </si>
  <si>
    <t>Кредитування з вирахуванням погашення</t>
  </si>
  <si>
    <t>Всього видатків за економічною класифікацією</t>
  </si>
  <si>
    <t>3. КРЕДИТУВАННЯ:</t>
  </si>
  <si>
    <t>3.1. Кредитування за типовою класифікацією</t>
  </si>
  <si>
    <t>Iншi послуги, пов'язанi з економiчною дiяльнiстю</t>
  </si>
  <si>
    <t>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t>
  </si>
  <si>
    <t>Повернення коштів, наданих із бюджету Автономноє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t>
  </si>
  <si>
    <t>Видатки не віднесені до основних груп</t>
  </si>
  <si>
    <t>Кредитування</t>
  </si>
  <si>
    <t xml:space="preserve">Надання кредиту </t>
  </si>
  <si>
    <t>8821/8841</t>
  </si>
  <si>
    <t>Повернення кредиту</t>
  </si>
  <si>
    <t>8822/8842</t>
  </si>
  <si>
    <t>Повернення пільгових кредитів, наданих членам житлово-будівельних кооперативів</t>
  </si>
  <si>
    <t>Бюджетні позички  суб'єктам господарювання  та їх повернення</t>
  </si>
  <si>
    <t>Надання бюджетних позичок суб'єктам господарювання</t>
  </si>
  <si>
    <t>Повернення бюджетних позичок, наданих суб'єктам господарювання</t>
  </si>
  <si>
    <t>Забезпечення гарантійних зобов'язань за позичальників, що отримали кредити під місцеві гарантії</t>
  </si>
  <si>
    <t>Повернення коштів, наданих для виконання гарантійних зобов'язань за позичальників, що отримали кредити під місцеві гарантії</t>
  </si>
  <si>
    <t>Всього за типовою класифікацією кредитування</t>
  </si>
  <si>
    <t>3.2  Кредитування за економічною класифікацією</t>
  </si>
  <si>
    <t>Кредитування бюджету</t>
  </si>
  <si>
    <t>Надання внутрішніх кредитів</t>
  </si>
  <si>
    <t>Повернення внутрішніх кредитів</t>
  </si>
  <si>
    <t>Всього кредитування за економічною класифікацію</t>
  </si>
  <si>
    <t>Всього 
 видатків та кредитування</t>
  </si>
  <si>
    <t>Тимчасовий касовий розрив</t>
  </si>
  <si>
    <t xml:space="preserve"> Джерела фінансування дефіциту  </t>
  </si>
  <si>
    <t>Фінансвуання за рахунок позик банківських установ</t>
  </si>
  <si>
    <t>Фінансування за рахунок інших банків</t>
  </si>
  <si>
    <t>Погашено позик</t>
  </si>
  <si>
    <t>Інше внутрішнє фінансування</t>
  </si>
  <si>
    <t>Фінансування за рахунок коштів єдиного казначейського рахунку</t>
  </si>
  <si>
    <t>Одержано</t>
  </si>
  <si>
    <t>Повернено</t>
  </si>
  <si>
    <t>Фінансування за рахунок цінних паперів</t>
  </si>
  <si>
    <t>Одержано позик</t>
  </si>
  <si>
    <t>Фінансування за рахунок залишків коштів на рахунках бюджетних установ</t>
  </si>
  <si>
    <t>На початок періоду</t>
  </si>
  <si>
    <t xml:space="preserve">На кінець періоду </t>
  </si>
  <si>
    <t>Інші розрахунки</t>
  </si>
  <si>
    <t>Зміни обсягів депозитів і цінних паперів, що використовуються для управління ліквідністю</t>
  </si>
  <si>
    <t xml:space="preserve">Повернення бюджетних коштів з депозитів, надходження внаслідок продажу/пред'явлення цінних паперів            </t>
  </si>
  <si>
    <t xml:space="preserve">Розміщення бюджетних коштів на депозитах або придбання цінних паперів                </t>
  </si>
  <si>
    <t>Фінансування за рахунок зміни залишків коштів бюджетів</t>
  </si>
  <si>
    <t>Передача коштів із спеціального до загального фонду бюджету</t>
  </si>
  <si>
    <t>Кошти, що передаються із загального фонду бюджету до бюджету розвитку (спеціального фонду)</t>
  </si>
  <si>
    <t>Зовнішнє фінансування</t>
  </si>
  <si>
    <t>Позики, надані міжнародними фінансовими організаціями</t>
  </si>
  <si>
    <t>Разом коштів, отриманих з усіх джерел фінансування бюджету за типом кредитора</t>
  </si>
  <si>
    <t>Фінансування за борговими операціями</t>
  </si>
  <si>
    <t>Запозичення</t>
  </si>
  <si>
    <t>Зовнішні запозичення</t>
  </si>
  <si>
    <t>Середньострокові зобов'язання</t>
  </si>
  <si>
    <t>Внутрішні запозичення</t>
  </si>
  <si>
    <t>Погашення</t>
  </si>
  <si>
    <t>Зовнішні зобов'язання</t>
  </si>
  <si>
    <t>Фінансування за активними операціями</t>
  </si>
  <si>
    <t xml:space="preserve">Повернення бюджетних коштів з депозитів, надходження внаслідок продажу/пред'явлення цінних паперів     </t>
  </si>
  <si>
    <t xml:space="preserve">Розміщення бюджетних коштів на депозитах або придбання цінних паперів     </t>
  </si>
  <si>
    <t xml:space="preserve">Зміни обсягів бюджетних коштів                           </t>
  </si>
  <si>
    <t>Кошти , що передаються із загального фонду бюджету до бюджету розвитку (спеціального фонду)</t>
  </si>
  <si>
    <t>Разом  коштів,  отриманих  з усіх джерел фінансування дефіциту бюджету за типом боргового зобов'язання</t>
  </si>
  <si>
    <t>Директор департаменту фінансової політики</t>
  </si>
  <si>
    <t>Тетяна ХАРЕНКО</t>
  </si>
  <si>
    <t>Субвенція з державного бюджету місцевим бюджетам на забезпечення харчуванням учнів початкових класів закладів загальної середньої освіти</t>
  </si>
  <si>
    <t>Додаток 1
до пояснювальної записки 
до рішення міської ради
від _________ № _______</t>
  </si>
  <si>
    <t>Інформація про виконання бюджету Черкаської міської територіальної громади станом на 01.11.2024 року</t>
  </si>
  <si>
    <t>Державне мито, що сплачується за місцем розгляду та оформлення документів, у тому числі за оформлення документів на спадщину і дарування</t>
  </si>
  <si>
    <t>Субвенція з державного бюджету місцевим бюджетам на реалізацію проектів в рамках Надзвичайної кредитної програми для відновлення України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</si>
  <si>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</si>
  <si>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Додаток 1
до рішення міської ради
"Про бюджет Черкаської міської територіальної громади на 2025 рік (2357600000)"
від ______________ № _________</t>
  </si>
  <si>
    <t>ДОХОДИ
бюджету Черкаської міської територіальної громади на 2025 рік</t>
  </si>
  <si>
    <t>(код бюджету)</t>
  </si>
  <si>
    <t>грн</t>
  </si>
  <si>
    <t>Код</t>
  </si>
  <si>
    <t>Найменування згідно 
з класифікацією доходів бюджету</t>
  </si>
  <si>
    <t>Усього</t>
  </si>
  <si>
    <t>Загальний
фонд</t>
  </si>
  <si>
    <t>у т.ч. бюджет розвитку</t>
  </si>
  <si>
    <t xml:space="preserve">Податкові надходження </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</si>
  <si>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</si>
  <si>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</si>
  <si>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</si>
  <si>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Податок на прибуток підприємств та фінансових установ комунальної власності</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</si>
  <si>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</si>
  <si>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води</t>
  </si>
  <si>
    <t>Рентна плата за спеціальне використання води водних об`єктів місцевого значення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</si>
  <si>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</si>
  <si>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 </t>
  </si>
  <si>
    <t>Рентна плата за користування надрами місцевого значення</t>
  </si>
  <si>
    <t>Рентна плата за користування надрами для видобування корисних копалин місцевого значення </t>
  </si>
  <si>
    <t>Внутрішні податки на товари та послуги</t>
  </si>
  <si>
    <t>Акцизний податок з реалізації суб"єктами господарювання роздрібної торгівлі підакцизних товарів</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</si>
  <si>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</si>
  <si>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 xml:space="preserve">Місцеві податки та збори, що сплачуються (перераховуються) згідно з Податковим кодексом України </t>
  </si>
  <si>
    <r>
      <t>18010000</t>
    </r>
    <r>
      <rPr>
        <sz val="10"/>
        <color indexed="8"/>
        <rFont val="Times New Roman"/>
        <family val="1"/>
        <charset val="204"/>
      </rPr>
      <t> </t>
    </r>
  </si>
  <si>
    <r>
      <t>Податок на майно</t>
    </r>
    <r>
      <rPr>
        <sz val="10"/>
        <color indexed="8"/>
        <rFont val="Times New Roman"/>
        <family val="1"/>
        <charset val="204"/>
      </rPr>
      <t> </t>
    </r>
  </si>
  <si>
    <t>Податок на майно відмінне від зем.ділянки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</si>
  <si>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</si>
  <si>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</si>
  <si>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</si>
  <si>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</si>
  <si>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</si>
  <si>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 xml:space="preserve"> Земельний податок з юридичних осіб</t>
  </si>
  <si>
    <t xml:space="preserve"> Орендна плата з юридичних осіб</t>
  </si>
  <si>
    <t xml:space="preserve"> Земельний податок з фізичних осіб</t>
  </si>
  <si>
    <t xml:space="preserve"> Орендна плата з фізичних осіб</t>
  </si>
  <si>
    <t xml:space="preserve">Транспортний податок </t>
  </si>
  <si>
    <t>Транспортний податок з фізичних осіб</t>
  </si>
  <si>
    <t>Транспортний податок з юридичних осіб</t>
  </si>
  <si>
    <t>Туристичний збір, сплачений юридичними особами</t>
  </si>
  <si>
    <t>Туристичний збір, сплачений фізичними  особами</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</si>
  <si>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</si>
  <si>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</si>
  <si>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</si>
  <si>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і збори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</si>
  <si>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</si>
  <si>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Надходження від здійснення торгівлі на митній території України паливом власного виробництва та/або виробленим з давальницької сировини податковими агентами</t>
  </si>
  <si>
    <t>19050000 </t>
  </si>
  <si>
    <t>Збір за забруднення навколишнього природного середовища  </t>
  </si>
  <si>
    <t>19050100 </t>
  </si>
  <si>
    <t>Надходження коштів від енергопідприємств до Державного фонду охорони навколишнього природного середовища  </t>
  </si>
  <si>
    <t>19050200 </t>
  </si>
  <si>
    <t>Інші збори за забруднення навколишнього природного середовища до Фонду охорони навколишнього природного середовища  </t>
  </si>
  <si>
    <t>19050300 </t>
  </si>
  <si>
    <t>Надходження від сплати збору за забруднення навколишнього природного середовища фізичними особами  </t>
  </si>
  <si>
    <t>Доходи від власності та підприємницької діяльності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</si>
  <si>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</si>
  <si>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 xml:space="preserve">Частина чистого прибутку (доходу) комунальних унітарних підприємств та їх об'єднань, що вилучається до відповідного місцевого бюджету </t>
  </si>
  <si>
    <t>Плата за розміщення тимчасово вільних коштів місцевих бюджетів</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</si>
  <si>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</si>
  <si>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Надходження коштів  від відшкодування втрат сільськогосподарського і лісогосподарського виробництва</t>
  </si>
  <si>
    <t>Адміністративні збори та платежі, доходи від некомерційної господарської діяльності</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</si>
  <si>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</si>
  <si>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 </t>
  </si>
  <si>
    <t>Адміністративний збір за державну реєстрацію речових прав на нерухоме майно та їх обтяжень </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</si>
  <si>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</si>
  <si>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Надходження від орендної плати за користування цілісним майновим комплексом та іншим державним майном</t>
  </si>
  <si>
    <t>Надходження від орендної плати за користування майновим комлексом та іншим майном, що перебуває в комунальній власності</t>
  </si>
  <si>
    <t>Державне мито, не віднесене до інших категорій</t>
  </si>
  <si>
    <t xml:space="preserve">Державне мито, пов’язане з видачею та оформленням закордонних паспортів (посвідок) та паспортів громадян України </t>
  </si>
  <si>
    <t>Надходження сум кредиторської та депонентської заборгованості підприємств, організацій та установ, щодо яких минув строк позивної давності</t>
  </si>
  <si>
    <t>Кошти, отримані від надання учасниками процедури закупівель як забезпечення їх тендерної пропозиції (пропозиції конкурсних торгів), які не підлягають поверненню цим учасникам</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</si>
  <si>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</si>
  <si>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Кошти, що надійдуть від учасника - переможця процедури закупівлі, під час укладання договору про закупівлю, забезпечення його виконання, які не підлягають поверненню учаснику-переможцю, відповідно до умов договору, в частині здійснення закупівель за рахун</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</si>
  <si>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</si>
  <si>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Доходи від операцій з кредитування та надання гарантій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</si>
  <si>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t>
  </si>
  <si>
    <t>Відсотки за користування пільговим довгостроковим кредитом, що надається з місцевих бюджетів, внутрішньо переміщеним особам, учасникам проведення антитерористичної операції (АТО) та/або учасникам проведення операції Об’єднаних сил (ООС) на будівництво або придбання житла, і пеня за порушення строку платежу з погашення кредиту</t>
  </si>
  <si>
    <t xml:space="preserve">Власні надходження бюджетних установ </t>
  </si>
  <si>
    <t>Надходження від плати за послуги, що надаються бюджетними установами згідно із законодавством </t>
  </si>
  <si>
    <t>Плата за оренду майна бюджетних установ, що здійснюються відповідно до Закону України "Про оренду державного та комунального майна"</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</si>
  <si>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</si>
  <si>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</si>
  <si>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Надходження від продажу основного капіталу</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</si>
  <si>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</si>
  <si>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Надходження коштів від Державного фонду дорогоцінних металів і дорогоцінного каміння  </t>
  </si>
  <si>
    <t>Кошти від відчуження майна, що належить Автономній Республіці Крим та майна, що перебуває в комунальній власності  </t>
  </si>
  <si>
    <t>Кошти від продажу землі і нематеріальних активів</t>
  </si>
  <si>
    <t>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</si>
  <si>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</si>
  <si>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прав на земельні ділянки несільськогосподарського призначення, що перебувають у державній або комунальній власності, та прав на земельні ділянки, які знаходяться на території Автономної Республіки Крим</t>
  </si>
  <si>
    <t>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t>
  </si>
  <si>
    <t>Цільові фонди, утворені Верховною Радою Автономної Республіки Крим, органами місцевого самоврядування та місцевими органами виконавчої влади</t>
  </si>
  <si>
    <t>Разом доходів (без урахування міжбюджетних трансфертів)</t>
  </si>
  <si>
    <t>Від органів державного управління  </t>
  </si>
  <si>
    <t>Додаткова дотація з державного бюджету місцевим бюджетам для надання компенсації закладам комунальної форми власності, закладам освіти державної форми власності, що передані на фінансування з місцевих бюджетів, закладам спільної власності територіальних громад області, що перебувають в управлінні обласних рад</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</si>
  <si>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</si>
  <si>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Субвенції з державного бюджету місцевим бюджетам</t>
  </si>
  <si>
    <t>Субвенція з державного бюджету місцевим бюджетам на модернізацію та оновлення матеріально-технічної бази професійно-технічних навчальних закладів</t>
  </si>
  <si>
    <t>Медична субвенція з державного бюджету місцевим бюджетам</t>
  </si>
  <si>
    <t>Субвенція з державного бюджету місцевим бюджетам на будівництво/реконструкцію палаців спорту</t>
  </si>
  <si>
    <t>Субвенції  з місцевих бюджетів іншим місцевим бюджетам</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</si>
  <si>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 </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</si>
  <si>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</si>
  <si>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</si>
  <si>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</si>
  <si>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Субвенція з місцевого бюджету на виплату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</si>
  <si>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</si>
  <si>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виплата заробітної плати педагогічним працівникам, які забезпечують здобуття загальної середньої освіти у приватних денних закладах загальної середньої освіти</t>
  </si>
  <si>
    <t>виплата заробітної плати педагогічним працівникам інклюзивно-ресурсних центрів</t>
  </si>
  <si>
    <t xml:space="preserve">Субвенція з місцевого бюджету на здійснення переданих видатків у сфері охорони здоров’я за рахунок коштів медичної субвенції (цільові видатки на лікування хворих на цукровий та нецукровий діабет) </t>
  </si>
  <si>
    <t>Субвенція з місцевого бюджету за рахунок залишку коштів освітньої субвенції, що утворився на початок бюджетного періоду:</t>
  </si>
  <si>
    <t>на придбання обладнання для оснащення ресурсних кімнат у закладах загальної середньої освіти, де діють інклюзивні класи</t>
  </si>
  <si>
    <t>закупівля україномовних дидактичних матеріалів для закладів загальної середньої освіти з навчанням мовами національних меншин</t>
  </si>
  <si>
    <t>на виконання обласної програми підвищення якості шкільної природничо-математичної освіти на період до 2021 року (на умовах співфінансування)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</si>
  <si>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</si>
  <si>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</si>
  <si>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Інші субвенції з місцевого бюджету:</t>
  </si>
  <si>
    <t>на виконання  обласної програми підвищення якості шкільної природничо-математичної освіти на період до 2021 року (на умовах співфінансування)</t>
  </si>
  <si>
    <t>на виплату обласних стипендій переможцям ІІІ етапу Всеукраїнських учнівських олімпіад та ІІ етапу конкурсу - захисту науково - дослідницьких робіт учнів - членів Малої академії наук</t>
  </si>
  <si>
    <t>на виплату щомісячної допомоги (стипендії) воїнам ОУН-УПА, які проживають на території області</t>
  </si>
  <si>
    <t>на надання медичної допомоги хворим нефрологічного профілю  (на умовах співфінансування)</t>
  </si>
  <si>
    <t xml:space="preserve">на відшкодування витрат на медичне обслуговування громадян, які постраждали внаслідок Чорнобильської катастрофи
</t>
  </si>
  <si>
    <t>на соціально-економічний розвиток регіонів</t>
  </si>
  <si>
    <t>на виплату одноразової грошової допомоги в розмірі 50 тис.грн. (п’ятдесят тисяч гривень)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</si>
  <si>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на виконання обласної програми забезпечення трансплантованих хворих</t>
  </si>
  <si>
    <t>на виконання програми розвитку футболу в Черкаській області на 2016-2020 роки</t>
  </si>
  <si>
    <t>на виконання обласної комплексної програми щодо медичного, соціального забезпечення, адаптації, психологічної реабілітації, професійної підготовки (перепідготовки) учасників антитерористичної операції, родин Героїв Небесної сотні, постраждалих під час Революції Гідності та бійців-добровольців на 2018-2022 роки (на умовах спів фінансування з місцевими бюджетами)</t>
  </si>
  <si>
    <t xml:space="preserve">на компенсаційні виплати особам з інвалідністю на бензин, ремонт, технічне обслуговування автомобілів, мотоколясок і на транспортне обслуговування; поховання учасників бойових дій та осіб з інвалідністю внаслідок війни; встановлення телефонів особам з інвалідністю I і II груп </t>
  </si>
  <si>
    <t xml:space="preserve">на виплату щомісячної фінансової допомоги (стипендії) політичним в’язням і 
репресованим, які проживають на території області </t>
  </si>
  <si>
    <t>на преміювання переможців обласного конкурсу з благоустрою населених пунктів області «Територія комфорту»</t>
  </si>
  <si>
    <t>на виконання обласної програми надання медичної допомоги хворим нефрологічного профілю на 2014-2019 роки (на умовах співфінансування)</t>
  </si>
  <si>
    <t>на виконання обласної програми медикаментозного забезпечення хворих із трансплантованими органами на 2017-2020 роки (на умовах співфінансування)</t>
  </si>
  <si>
    <t>на виконання програми розвитку фізичної культури і спорту в області на 2016-2020 роки</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</si>
  <si>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</si>
  <si>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t>
  </si>
  <si>
    <t xml:space="preserve">Усього </t>
  </si>
  <si>
    <t xml:space="preserve">Директор департаменту фінансової політики                  
</t>
  </si>
  <si>
    <t>Додаток 2
до рішення міської ради
"Про бюджет Черкаської міської територіальної громади на 2025 рік (2357600000)"
від ______________ № _________</t>
  </si>
  <si>
    <t>ФІНАНСУВАННЯ
бюджету Черкаської міської територіальної громади на 2025 рік</t>
  </si>
  <si>
    <t>(грн)</t>
  </si>
  <si>
    <t>Найменування 
згідно з Класифікацією фінансування бюджету</t>
  </si>
  <si>
    <t>усього</t>
  </si>
  <si>
    <t>у тому числі бюджет розвитку</t>
  </si>
  <si>
    <t>Фінансування за типом кредитора</t>
  </si>
  <si>
    <t>Внутрішнє фінансування</t>
  </si>
  <si>
    <t>203000</t>
  </si>
  <si>
    <t>203400</t>
  </si>
  <si>
    <t xml:space="preserve">Фінансування за рахунок коштів єдиного казначейського рахунку </t>
  </si>
  <si>
    <t>203420</t>
  </si>
  <si>
    <t>203520</t>
  </si>
  <si>
    <t>208000</t>
  </si>
  <si>
    <t xml:space="preserve">Фінансування за рахунок зміни залишків коштів бюджетів </t>
  </si>
  <si>
    <t>208100</t>
  </si>
  <si>
    <t>На кінець періоду</t>
  </si>
  <si>
    <t>208340</t>
  </si>
  <si>
    <t xml:space="preserve">Інші розрахунки </t>
  </si>
  <si>
    <t>208400</t>
  </si>
  <si>
    <t xml:space="preserve">Фінансування за борговими операціями </t>
  </si>
  <si>
    <t xml:space="preserve">Погашення </t>
  </si>
  <si>
    <t xml:space="preserve">Внутрішні зобов'язання </t>
  </si>
  <si>
    <t xml:space="preserve">Середньострокові зобов'язання </t>
  </si>
  <si>
    <t xml:space="preserve">Одержано позик </t>
  </si>
  <si>
    <t>Х</t>
  </si>
  <si>
    <t>Загальне фінансування</t>
  </si>
  <si>
    <t>Фінансування за типом боргового зобов'язання</t>
  </si>
  <si>
    <t xml:space="preserve">Запозичення </t>
  </si>
  <si>
    <t xml:space="preserve">Зовнішні запозичення </t>
  </si>
  <si>
    <t>602000</t>
  </si>
  <si>
    <t>Зміни обсягів бюджетних коштів</t>
  </si>
  <si>
    <t>602100</t>
  </si>
  <si>
    <t>602200</t>
  </si>
  <si>
    <t>602300</t>
  </si>
  <si>
    <t>602400</t>
  </si>
  <si>
    <t>Додаток 3
до рішення міської ради
"Про бюджет Черкаської міської територіальної громади на 2025 рік (2357600000)"
від ____________ № _________</t>
  </si>
  <si>
    <t>РОЗПОДІЛ
видатків бюджету Черкаської міської територіальної громади на 2025 рік</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</si>
  <si>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</si>
  <si>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</si>
  <si>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</si>
  <si>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бюджету міської територіальної громади/відповідального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</si>
  <si>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</si>
  <si>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</si>
  <si>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</si>
  <si>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</si>
  <si>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оплата праці</t>
  </si>
  <si>
    <t>медикаменти та перев'язувальні матеріали</t>
  </si>
  <si>
    <t>продукти харчування</t>
  </si>
  <si>
    <t>комунальні послуги та енергоносії</t>
  </si>
  <si>
    <t>медикаменти</t>
  </si>
  <si>
    <t>харчування</t>
  </si>
  <si>
    <t>кошти, що передаються із загального фонду бюджету до бюджету розвитку (спеціального фонду)</t>
  </si>
  <si>
    <t>0600000</t>
  </si>
  <si>
    <t>Департамент освіти та гуманітарної політики ЧМР</t>
  </si>
  <si>
    <t>0610000</t>
  </si>
  <si>
    <t>0610160</t>
  </si>
  <si>
    <t>0111</t>
  </si>
  <si>
    <t>Керівництво і управління у відповідній сфері у містах (місті Києві), селищах, селах, територіальних громадах</t>
  </si>
  <si>
    <t>X</t>
  </si>
  <si>
    <t>в т.ч. освітня субвенція з державного бюджету</t>
  </si>
  <si>
    <t>в т.ч.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</si>
  <si>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т.ч. інші дотації з місцевого бюджету</t>
  </si>
  <si>
    <t>в т.ч. субвенція з місцевого бюджету на здійснення переданих видатків у сфері освіти за рахунок коштів освітньої субвенції</t>
  </si>
  <si>
    <t>в т.ч. 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</si>
  <si>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в т.ч.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</si>
  <si>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 т.ч. субвенція з місцевого бюджету за рахунок залишку коштів освітньої субвенції, що утворився на початок бюджетного періоду</t>
  </si>
  <si>
    <t>в т.ч. 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</si>
  <si>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в т.ч. за рахунок розподілу залишку коштів субвенції з місцевого бюджету на здійснення переданих видатків у сфері освіти за рахунок коштів освітньої субвенції</t>
  </si>
  <si>
    <t>в т.ч. за рахунок розподілу залишку бюджетних коштів, що утворився станом на 01.01.2024 на оплату праці та нарахування за оплату праці</t>
  </si>
  <si>
    <t>в т.ч. за рахунок розподілу залишку бюджетних коштів, що утворився станом на 01.01.2024 на предмети, матеріали, обладнання та інвентар</t>
  </si>
  <si>
    <t>в т.ч. інші субвенції з місцевого бюджету</t>
  </si>
  <si>
    <t>в т.ч. з державного бюджету місцевим бюджетам на забезпечення харчуванням учнів початкових класів закладів загальної середньої освіти</t>
  </si>
  <si>
    <t>0611010</t>
  </si>
  <si>
    <t xml:space="preserve">0910 </t>
  </si>
  <si>
    <t>Надання дошкільної освіти</t>
  </si>
  <si>
    <t>в т.ч. субвенція з обласного бюджету</t>
  </si>
  <si>
    <t>0611020</t>
  </si>
  <si>
    <t>Надання загальної середньої освіти за рахунок коштів місцевого бюджету</t>
  </si>
  <si>
    <t>в т.ч. 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</si>
  <si>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в т.ч. субвенція з державного бюджету на надання державної підтримки особам з особливими освітніми потребами</t>
  </si>
  <si>
    <t>в т.ч. субвенція з обласного бюджету за рахунок залишку коштів освітньої субвенції, що утворився на початок бюджетного періоду</t>
  </si>
  <si>
    <t xml:space="preserve">в т.ч. субвенція з державного бюджету на забезпечення якісної, сучасної та доступної загальної середньої освіти «Нова українська школа» </t>
  </si>
  <si>
    <t>0611060</t>
  </si>
  <si>
    <t>0910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</si>
  <si>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</si>
  <si>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0611021</t>
  </si>
  <si>
    <t>0921</t>
  </si>
  <si>
    <t>Надання загальної середньої освіти закладами загальної середньої освіти за рахунок коштів місцевого бюджету</t>
  </si>
  <si>
    <t>0611030</t>
  </si>
  <si>
    <t>Надання загальної середньої освіти за рахунок освітньої субвенції</t>
  </si>
  <si>
    <t>0611031</t>
  </si>
  <si>
    <t>Надання загальної середньої освіти закладами загальної середньої освіти за рахунок освітньої субвенції</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</si>
  <si>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</si>
  <si>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</si>
  <si>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</si>
  <si>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0611070</t>
  </si>
  <si>
    <t xml:space="preserve">0960 </t>
  </si>
  <si>
    <t>Надання позашкільної освіти закладами позашкільної освіти, заходи із позашкільної роботи з дітьми</t>
  </si>
  <si>
    <t>0611080</t>
  </si>
  <si>
    <t>0960</t>
  </si>
  <si>
    <t>Надання спеціалізованої освіти мистецькими школами</t>
  </si>
  <si>
    <t>0611110</t>
  </si>
  <si>
    <t>0930</t>
  </si>
  <si>
    <t>Підготовка кадрів закладами професійної (професійно-технічної) освіти та іншими закладами освіти</t>
  </si>
  <si>
    <t>в т.ч. субвенція з державного бюджету місцевим бюджетам на створення навчально-практичних центрів сучасної професійної (професійно-технічної) освіти</t>
  </si>
  <si>
    <t>0611150</t>
  </si>
  <si>
    <t xml:space="preserve">0990 </t>
  </si>
  <si>
    <t>Методичне забезпечення діяльності закладів освіти</t>
  </si>
  <si>
    <t>0611091</t>
  </si>
  <si>
    <t>Підготовка кадрів закладами професійної (професійно-технічної) освіти та іншими закладами освіти за рахунок коштів місцевого бюджету</t>
  </si>
  <si>
    <t>0611092</t>
  </si>
  <si>
    <t>Підготовка кадрів закладами професійної (професійно-технічної) освіти та іншими закладами освіти за рахунок освітньої субвенції</t>
  </si>
  <si>
    <t>0611094</t>
  </si>
  <si>
    <t>Підготовка кадрів закладами професійної (професійно-технічної) освіти та іншими закладами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</si>
  <si>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0611140</t>
  </si>
  <si>
    <t>Інші програми, заклади та заходи у сфері освіти</t>
  </si>
  <si>
    <t>0611141</t>
  </si>
  <si>
    <t>0990</t>
  </si>
  <si>
    <t>Забезпечення діяльності інших закладів у сфері освіти</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</si>
  <si>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</si>
  <si>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</si>
  <si>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</si>
  <si>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</si>
  <si>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</si>
  <si>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</si>
  <si>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0611160</t>
  </si>
  <si>
    <t>Забезпечення діяльності центрів професійного розвитку педагогічних працівників</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</si>
  <si>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</si>
  <si>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</si>
  <si>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</si>
  <si>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</si>
  <si>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</si>
  <si>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</si>
  <si>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</si>
  <si>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</si>
  <si>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</si>
  <si>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</si>
  <si>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0611242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</si>
  <si>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</si>
  <si>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</si>
  <si>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</si>
  <si>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</si>
  <si>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</si>
  <si>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</si>
  <si>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</si>
  <si>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Соціальний захист та соціальне забезпечення </t>
  </si>
  <si>
    <t>0613130</t>
  </si>
  <si>
    <t>0613133</t>
  </si>
  <si>
    <t>1040</t>
  </si>
  <si>
    <t>0613140</t>
  </si>
  <si>
    <t>0613230</t>
  </si>
  <si>
    <t>1070</t>
  </si>
  <si>
    <t>Видатки, пов'язані з наданням підтримки внутрішньо переміщеним та/або евакуйованим особам у зв'язку із введенням воєнного стану</t>
  </si>
  <si>
    <t>0613240</t>
  </si>
  <si>
    <t>0613241</t>
  </si>
  <si>
    <t>1090</t>
  </si>
  <si>
    <t>0613242</t>
  </si>
  <si>
    <t xml:space="preserve">Культура і мистецтво </t>
  </si>
  <si>
    <t>0614030</t>
  </si>
  <si>
    <t>0824</t>
  </si>
  <si>
    <t>0614040</t>
  </si>
  <si>
    <t>0614060</t>
  </si>
  <si>
    <t>0828</t>
  </si>
  <si>
    <t>0614080</t>
  </si>
  <si>
    <t>0614081</t>
  </si>
  <si>
    <t>0829</t>
  </si>
  <si>
    <t xml:space="preserve">Забезпечення діяльності інших закладів в галузі культури і мистецтва </t>
  </si>
  <si>
    <t>0614082</t>
  </si>
  <si>
    <t>0615010</t>
  </si>
  <si>
    <t>Проведення спортивної роботи в регіоні</t>
  </si>
  <si>
    <t>0615011</t>
  </si>
  <si>
    <t>0810</t>
  </si>
  <si>
    <t>Проведення навчально-тренувальних зборів і змагань з олімпійських видів спорту</t>
  </si>
  <si>
    <t>0615012</t>
  </si>
  <si>
    <t>Проведення навчально-тренувальних зборів і змагань з неолімпійських видів спорту</t>
  </si>
  <si>
    <t>0615030</t>
  </si>
  <si>
    <t>Розвиток дитячо-юнацького та резервного спорту</t>
  </si>
  <si>
    <t>0615031</t>
  </si>
  <si>
    <t>Утримання та навчально-тренувальна робота комунальних дитячо-юнацьких спортивних шкіл</t>
  </si>
  <si>
    <t>в т.ч.  субвенція з державного бюджету на соціально-економічний розвиток</t>
  </si>
  <si>
    <t>0615040</t>
  </si>
  <si>
    <t>Підтримка і розвиток спортивної інфраструктури</t>
  </si>
  <si>
    <t>0615041</t>
  </si>
  <si>
    <t>Утримання та фінансова підтримка спортивних споруд</t>
  </si>
  <si>
    <t>0615049</t>
  </si>
  <si>
    <t>Виконання окремих заходів з реалізації соціального проекту «Активні парки - локації здорової України»</t>
  </si>
  <si>
    <t>в т.ч.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</si>
  <si>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0615060</t>
  </si>
  <si>
    <t>Інші заходи з розвитку фізичної культури та спорту</t>
  </si>
  <si>
    <t>0615062</t>
  </si>
  <si>
    <t>Підтримка спорту вищих досягнень та організацій, які здійснюють фізкультурно-спортивну діяльність в регіоні</t>
  </si>
  <si>
    <t>0615063</t>
  </si>
  <si>
    <t>Забезпечення діяльності централізованої бухгалтерії</t>
  </si>
  <si>
    <t>0617321</t>
  </si>
  <si>
    <t>0443</t>
  </si>
  <si>
    <t>0616080</t>
  </si>
  <si>
    <t>0616082</t>
  </si>
  <si>
    <t>0610</t>
  </si>
  <si>
    <t>Придбання житла для окремих категорій населення відповідно до законодавства</t>
  </si>
  <si>
    <t>0616084</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</si>
  <si>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</si>
  <si>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r>
      <t xml:space="preserve">в т.ч.  </t>
    </r>
    <r>
      <rPr>
        <b/>
        <i/>
        <sz val="11"/>
        <rFont val="Times New Roman"/>
        <family val="1"/>
        <charset val="204"/>
      </rPr>
      <t>субвенція з державного бюджету на соціально-економічний розвиток</t>
    </r>
  </si>
  <si>
    <t>в т.ч. реалізація проектів-переможців визначених згідно Програми "Громадський бюджет міста Черкаси на 2015-2019 роки"</t>
  </si>
  <si>
    <t>0617324</t>
  </si>
  <si>
    <t>Будівництво установ та закладів культури</t>
  </si>
  <si>
    <t>0617325</t>
  </si>
  <si>
    <t>Будівництво споруд, установ та закладів фізичної культури і спорту</t>
  </si>
  <si>
    <t>0617330</t>
  </si>
  <si>
    <t>0617361</t>
  </si>
  <si>
    <t>0490</t>
  </si>
  <si>
    <t>Співфінансування інвестиційних проектів, що реалізуються за рахунок коштів державного фонду регіонального розвитку</t>
  </si>
  <si>
    <t>0617363</t>
  </si>
  <si>
    <t>Виконання інвестиційних проектів в рамках здійснення заходів щодо соціально-економічного розвитку окремих територій</t>
  </si>
  <si>
    <t>в т.ч. субвенція з державного бюджету на здійснення заходів щодо соціально-економічного розвитку окремих територій</t>
  </si>
  <si>
    <t>0617622</t>
  </si>
  <si>
    <t>0470</t>
  </si>
  <si>
    <t>0617530</t>
  </si>
  <si>
    <t>0460</t>
  </si>
  <si>
    <t>Інші заходи у сфері зв'язку, телекомунікації та інформатики</t>
  </si>
  <si>
    <t>0617670</t>
  </si>
  <si>
    <t>Внески до статутного капіталу суб`єктів господарювання</t>
  </si>
  <si>
    <t>0617380</t>
  </si>
  <si>
    <t>в т.ч. субвенція з державного бюджету на реалізацію інфраструктурних проектів та розвиток об’єктів соціально-культурної сфери</t>
  </si>
  <si>
    <t>0618420</t>
  </si>
  <si>
    <t>0830</t>
  </si>
  <si>
    <t>Інші заходи у сфері медіа (засобів масової інформації)</t>
  </si>
  <si>
    <t>0619770</t>
  </si>
  <si>
    <t>0700000</t>
  </si>
  <si>
    <t>Департамент охорони здоров'я та медичних послуг ЧМР</t>
  </si>
  <si>
    <t>0710000</t>
  </si>
  <si>
    <t>0710160</t>
  </si>
  <si>
    <t xml:space="preserve">Охорона здоров'я </t>
  </si>
  <si>
    <r>
      <t>в т.ч. за рахунок медичної</t>
    </r>
    <r>
      <rPr>
        <b/>
        <i/>
        <sz val="11"/>
        <rFont val="Times New Roman"/>
        <family val="1"/>
        <charset val="204"/>
      </rPr>
      <t xml:space="preserve"> субвенції з державного бюджету</t>
    </r>
  </si>
  <si>
    <t xml:space="preserve">в т.ч. субвенція  з місцевого бюджету на здійснення переданих видатків у сфері охорони здоров’я за рахунок коштів медичної субвенції </t>
  </si>
  <si>
    <t>в т.ч. 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</si>
  <si>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0712010</t>
  </si>
  <si>
    <t>0731</t>
  </si>
  <si>
    <t>Багатопрофільна стаціонарна медична допомога населенню</t>
  </si>
  <si>
    <t>в т.ч. виплата премій по програмі місцевих стимулів для медичних працівників міста Черкаси на 2020 рік</t>
  </si>
  <si>
    <r>
      <t xml:space="preserve">в т.ч. медична </t>
    </r>
    <r>
      <rPr>
        <b/>
        <i/>
        <sz val="11"/>
        <rFont val="Times New Roman"/>
        <family val="1"/>
        <charset val="204"/>
      </rPr>
      <t>субвенція з державного бюджету</t>
    </r>
  </si>
  <si>
    <t>в т.ч. субвенція з місцевого бюджету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за рахунок відповідної субвенції з державного бюджету</t>
  </si>
  <si>
    <t>в т.ч. міська програма місцевих стимулів для медичних працівників міста Черкаси на 2020 рік</t>
  </si>
  <si>
    <t>в т.ч. розподілено коштів резервного фонду</t>
  </si>
  <si>
    <t>0712030</t>
  </si>
  <si>
    <t>0733</t>
  </si>
  <si>
    <t>Лікарсько-акушерська допомога  вагітним, породіллям та новонародженим</t>
  </si>
  <si>
    <t>0712080</t>
  </si>
  <si>
    <t>0721</t>
  </si>
  <si>
    <t>Амбулаторно-поліклінічна допомога населенню, крім первинної медичної допомоги</t>
  </si>
  <si>
    <t>0712100</t>
  </si>
  <si>
    <t>0722</t>
  </si>
  <si>
    <t>Стоматологічна допомога населенню</t>
  </si>
  <si>
    <t>0712111</t>
  </si>
  <si>
    <t>0726</t>
  </si>
  <si>
    <t>Первинна медична допомога населенню, що надається центрами первинної медичної (медико-санітарної) допомоги</t>
  </si>
  <si>
    <t>0712140</t>
  </si>
  <si>
    <t>Програми і централізовані заходи у галузі охорони здоров’я</t>
  </si>
  <si>
    <t>0712144</t>
  </si>
  <si>
    <t>0763</t>
  </si>
  <si>
    <t>Централізовані заходи з лікування хворих на цукровий та нецукровий діабет</t>
  </si>
  <si>
    <t>в т.ч. субвенція  з місцевого бюджету за рахунок залишку коштів медичної субвенції, що утворився на початок бюджетного періоду</t>
  </si>
  <si>
    <t>0712146</t>
  </si>
  <si>
    <t>Відшкодування вартості лікарських засобів для лікування окремих захворювань</t>
  </si>
  <si>
    <t>в т.ч. субвенція з державного бюджету на відшкодування вартості лікарських засобів для лікування окремих захворювань</t>
  </si>
  <si>
    <t>0712150</t>
  </si>
  <si>
    <t>Інші програми, заклади та заходи у сфері охорони здоров’я</t>
  </si>
  <si>
    <t>0712151</t>
  </si>
  <si>
    <t>Забезпечення діяльності інших закладів у сфері охорони здоров’я</t>
  </si>
  <si>
    <t>0712152</t>
  </si>
  <si>
    <t>Інші програми та заходи у сфері охорони здоров’я</t>
  </si>
  <si>
    <t>в т.ч. субвенція з обласного бюджету (на виконання обласної програми надання медичної допомоги хворим нефрологічного профілю)</t>
  </si>
  <si>
    <t>в т.ч. субвенція з  місцевого бюджету за рахунок залишку коштів медичної субвенції, (на виконання обласної програми надання медичної допомоги хворим нефрологічного профілю)</t>
  </si>
  <si>
    <t>0713050</t>
  </si>
  <si>
    <t>в т.ч. субвенція з місцевого бюджету</t>
  </si>
  <si>
    <t>0717363</t>
  </si>
  <si>
    <t>0717369</t>
  </si>
  <si>
    <t>Реалізація проектів з реконструкції, капітального ремонту приймальних відділень в опорних закладах охорони здоров'я у госпітальних округах</t>
  </si>
  <si>
    <t>в т.ч. субвенція з місцевого бюджету на реалізацію проектів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</si>
  <si>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0717670</t>
  </si>
  <si>
    <t>0718110</t>
  </si>
  <si>
    <t>0320</t>
  </si>
  <si>
    <t>в т.ч. Програма забезпечення техногенної та пожежної безпеки на території м. Черкаси, захисту населення від надзвичайних ситуацій техногенного, природного, соціального, воєнного характеру на 2019-2022 роки</t>
  </si>
  <si>
    <t>0719770</t>
  </si>
  <si>
    <t>0800000</t>
  </si>
  <si>
    <t xml:space="preserve"> Департамент соціальної політики ЧМР</t>
  </si>
  <si>
    <t>0810000</t>
  </si>
  <si>
    <t>Департамент соціальної політики ЧМР</t>
  </si>
  <si>
    <t>0810160</t>
  </si>
  <si>
    <t>0811060</t>
  </si>
  <si>
    <t>1060</t>
  </si>
  <si>
    <t>0910 </t>
  </si>
  <si>
    <t>Забезпечення належних умов для виховання та розвитку дітей-сиріт і дітей, позбавлених батьківського піклування, в дитячих будинках</t>
  </si>
  <si>
    <r>
      <t xml:space="preserve">в т.ч. за рахунок </t>
    </r>
    <r>
      <rPr>
        <b/>
        <i/>
        <sz val="11"/>
        <rFont val="Times New Roman"/>
        <family val="1"/>
        <charset val="204"/>
      </rPr>
      <t>субвенцій з державного бюджету</t>
    </r>
  </si>
  <si>
    <t>в т.ч.субвенція з державного бюджету</t>
  </si>
  <si>
    <t>0813010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</si>
  <si>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</si>
  <si>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</si>
  <si>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1030 </t>
  </si>
  <si>
    <t>Надання пільг на оплату житлово-комунальних послуг окремим категоріям громадян відповідно до законодавства</t>
  </si>
  <si>
    <r>
      <t xml:space="preserve">в т.ч. за рахунок </t>
    </r>
    <r>
      <rPr>
        <b/>
        <i/>
        <sz val="11"/>
        <rFont val="Times New Roman"/>
        <family val="1"/>
        <charset val="204"/>
      </rPr>
      <t>субвенції з державного бюджету</t>
    </r>
  </si>
  <si>
    <t>0813012</t>
  </si>
  <si>
    <t>Надання субсидій населенню для відшкодування витрат на оплату житлово-комунальних послуг</t>
  </si>
  <si>
    <t>0813020</t>
  </si>
  <si>
    <t>Надання пільг та субсидій населенню на придбання твердого та рідкого пічного побутового палива і скрапленого газу</t>
  </si>
  <si>
    <t>0813021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</si>
  <si>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</si>
  <si>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0813022</t>
  </si>
  <si>
    <t>Надання субсидій населенню для відшкодування витрат на придбання твердого та рідкого пічного побутового палива і скрапленого газу</t>
  </si>
  <si>
    <r>
      <t>в т.ч. за рахунок</t>
    </r>
    <r>
      <rPr>
        <b/>
        <i/>
        <sz val="11"/>
        <rFont val="Times New Roman"/>
        <family val="1"/>
        <charset val="204"/>
      </rPr>
      <t xml:space="preserve"> субвенції з державного бюджету</t>
    </r>
  </si>
  <si>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</si>
  <si>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</si>
  <si>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</si>
  <si>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1030</t>
  </si>
  <si>
    <t>0813032</t>
  </si>
  <si>
    <t>Надання пільг окремим категоріям громадян з оплати послуг зв`язку</t>
  </si>
  <si>
    <t>0813035</t>
  </si>
  <si>
    <t>0813036</t>
  </si>
  <si>
    <t>0813040</t>
  </si>
  <si>
    <t>Надання допомоги сім'ям з дітьми, малозабезпеченим  сім’ям, тимчасової допомоги дітям</t>
  </si>
  <si>
    <t>0813041</t>
  </si>
  <si>
    <t>1040 </t>
  </si>
  <si>
    <t>Надання допомоги у зв'язку з вагітністю і пологами</t>
  </si>
  <si>
    <t>0813042</t>
  </si>
  <si>
    <t xml:space="preserve">Надання допомоги при усиновленні дитини </t>
  </si>
  <si>
    <t>0813043</t>
  </si>
  <si>
    <t>Надання допомоги при народженні дитини</t>
  </si>
  <si>
    <t>0813044</t>
  </si>
  <si>
    <t>Надання допомоги на дітей, над якими встановлено опіку чи піклування</t>
  </si>
  <si>
    <t>0813045</t>
  </si>
  <si>
    <t>Надання допомоги на дітей одиноким матерям</t>
  </si>
  <si>
    <t>0813046</t>
  </si>
  <si>
    <t>Надання тимчасової державної допомоги дітям</t>
  </si>
  <si>
    <t>0813047</t>
  </si>
  <si>
    <t>Надання державної соціальної допомоги малозабезпеченим сім'ям</t>
  </si>
  <si>
    <t>0813049</t>
  </si>
  <si>
    <t>Відшкодування послуги з догляду за дитиною до трьох років «муніципальна няня»</t>
  </si>
  <si>
    <t>0813050</t>
  </si>
  <si>
    <t>1070 </t>
  </si>
  <si>
    <t>0813080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</si>
  <si>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</si>
  <si>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</si>
  <si>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1010 </t>
  </si>
  <si>
    <t xml:space="preserve">Надання державної соціальної допомоги особам з інвалідністю з дитинства та дітям з інвалідністю </t>
  </si>
  <si>
    <t>0813082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</si>
  <si>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</si>
  <si>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</si>
  <si>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Надання допомоги по догляду за особами з інвалідністю I чи II групи внаслідок психічного розладу</t>
  </si>
  <si>
    <t>0813084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</si>
  <si>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</si>
  <si>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</si>
  <si>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</si>
  <si>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</si>
  <si>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Надання допомоги на дітей, хворих на тяжкі перинатальні ураження нервової системи, тяжкі вроджені вади розвитку, рідкісні органні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</si>
  <si>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0813087</t>
  </si>
  <si>
    <t>Надання допомоги на дітей, які виховуються у багатодітних сім’ях</t>
  </si>
  <si>
    <t>0813090</t>
  </si>
  <si>
    <t>0813100</t>
  </si>
  <si>
    <t>0813104</t>
  </si>
  <si>
    <t>1020 </t>
  </si>
  <si>
    <t>0813105</t>
  </si>
  <si>
    <t>1010</t>
  </si>
  <si>
    <t>0813121</t>
  </si>
  <si>
    <t>Утримання та забезпечення діяльності центрів соціальних служб</t>
  </si>
  <si>
    <t>0813140</t>
  </si>
  <si>
    <t>0813160</t>
  </si>
  <si>
    <t>0813170</t>
  </si>
  <si>
    <t>0813171</t>
  </si>
  <si>
    <t>0813172</t>
  </si>
  <si>
    <t>0813180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</si>
  <si>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</si>
  <si>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</si>
  <si>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</si>
  <si>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</si>
  <si>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</si>
  <si>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1050</t>
  </si>
  <si>
    <t>в т.ч. Програма зайнятості населення м. Черкаси на 2019-2023 роки</t>
  </si>
  <si>
    <t>0813221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</si>
  <si>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</si>
  <si>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в т.ч. за рахунок субвенції з місцевого бюджету</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</si>
  <si>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</si>
  <si>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</si>
  <si>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0813223</t>
  </si>
  <si>
    <t>0813224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</si>
  <si>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</si>
  <si>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в т.ч. за рахунок субвенції з державного бюджету</t>
  </si>
  <si>
    <t>0813230</t>
  </si>
  <si>
    <t>0813240</t>
  </si>
  <si>
    <t>0813242</t>
  </si>
  <si>
    <t>в т.ч. за рахунок розподілу залишку бюджетних коштів, що утворився станом на 01.01.2024 на інші виплати населенню</t>
  </si>
  <si>
    <t>0816083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</si>
  <si>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</si>
  <si>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позбавлених батьківського піклування, осіб з їх числа</t>
  </si>
  <si>
    <t>в т.ч. за рахунок субвенції з державного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</si>
  <si>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0817323</t>
  </si>
  <si>
    <t>Будівництво установ та закладів соціальної сфери</t>
  </si>
  <si>
    <t>0817330</t>
  </si>
  <si>
    <t>0817366</t>
  </si>
  <si>
    <t xml:space="preserve"> Реалізація проектів в рамках Надзвичайної кредитної програми для відновлення України</t>
  </si>
  <si>
    <t>в т.ч. субвенція з державного бюджету</t>
  </si>
  <si>
    <t>0900000</t>
  </si>
  <si>
    <t xml:space="preserve"> Служба у справах дітей ЧМР</t>
  </si>
  <si>
    <t>0910000</t>
  </si>
  <si>
    <t>0910160</t>
  </si>
  <si>
    <t>0913112</t>
  </si>
  <si>
    <t>1200000</t>
  </si>
  <si>
    <t xml:space="preserve"> Департамент житлово-комунального комплексу ЧМР</t>
  </si>
  <si>
    <t>1210000</t>
  </si>
  <si>
    <t>Департамент житлово-комунального комплексу ЧМР</t>
  </si>
  <si>
    <t>1210160</t>
  </si>
  <si>
    <t>1213036</t>
  </si>
  <si>
    <t xml:space="preserve">Житлово-комунальне господарство </t>
  </si>
  <si>
    <t>1216011</t>
  </si>
  <si>
    <t>0620</t>
  </si>
  <si>
    <t>1216012</t>
  </si>
  <si>
    <t>1216013</t>
  </si>
  <si>
    <t>1216015</t>
  </si>
  <si>
    <t>1216017</t>
  </si>
  <si>
    <t>6017</t>
  </si>
  <si>
    <t>Інша діяльність, пов`язана з експлуатацією об`єктів житлово-комунального господарства</t>
  </si>
  <si>
    <t>1216030</t>
  </si>
  <si>
    <t>1216040</t>
  </si>
  <si>
    <t>1216090</t>
  </si>
  <si>
    <t>0640</t>
  </si>
  <si>
    <t>1216071</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</si>
  <si>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</si>
  <si>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1216084</t>
  </si>
  <si>
    <t>6084</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</si>
  <si>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</si>
  <si>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7000</t>
  </si>
  <si>
    <t>Економічна діяльність</t>
  </si>
  <si>
    <t>1217310</t>
  </si>
  <si>
    <t>Будівництво об`єктів житлово-комунального господарства</t>
  </si>
  <si>
    <t>1217363</t>
  </si>
  <si>
    <t>1217421</t>
  </si>
  <si>
    <t>7421</t>
  </si>
  <si>
    <t>0453</t>
  </si>
  <si>
    <t>Утримання та розвиток наземного електротранспорту</t>
  </si>
  <si>
    <t>1217422</t>
  </si>
  <si>
    <t>7422</t>
  </si>
  <si>
    <t>Регулювання цін на послуги місцевого наземного електротранспорту</t>
  </si>
  <si>
    <t>1217426</t>
  </si>
  <si>
    <t>0455</t>
  </si>
  <si>
    <t>1217450</t>
  </si>
  <si>
    <t>0456</t>
  </si>
  <si>
    <t>1217460</t>
  </si>
  <si>
    <t>Утримання та розвиток автомобільних доріг та дорожньої інфраструктури</t>
  </si>
  <si>
    <t>1217461</t>
  </si>
  <si>
    <t>0456 </t>
  </si>
  <si>
    <t>1217470</t>
  </si>
  <si>
    <t xml:space="preserve"> Інша діяльність у сфері дорожнього господарства</t>
  </si>
  <si>
    <t>1217640</t>
  </si>
  <si>
    <t>1217670</t>
  </si>
  <si>
    <t>1217691</t>
  </si>
  <si>
    <t>1218100</t>
  </si>
  <si>
    <t>1218110</t>
  </si>
  <si>
    <t>в т.ч. Міська цільова програма сприяння співвласникам багатоквартирних будинків в підготовці житлового фонду м. Черкас до опалювального сезону в умовах воєнного стану на 2022-2023 роки</t>
  </si>
  <si>
    <t>1218120</t>
  </si>
  <si>
    <t>в т.ч. Програма забезпечення рятувальних заходів на водних об'єктах м. Черкаси комунальною установою "Черкаська міська комунальна аварійно-рятувальна служба" на 2021-2023 роки</t>
  </si>
  <si>
    <t>1218240</t>
  </si>
  <si>
    <t>0380</t>
  </si>
  <si>
    <t>1218312</t>
  </si>
  <si>
    <t>0512</t>
  </si>
  <si>
    <t>1218330</t>
  </si>
  <si>
    <t>0540</t>
  </si>
  <si>
    <t>1218340</t>
  </si>
  <si>
    <t>в т.ч. за рахунок субвенції з обласного бюджету</t>
  </si>
  <si>
    <t>1219770</t>
  </si>
  <si>
    <t>9770</t>
  </si>
  <si>
    <t>в т.ч. Міська цільова програма заходів та робіт з територіальної оборони м. Черкаси на 2022-2023 роки</t>
  </si>
  <si>
    <t>1219800</t>
  </si>
  <si>
    <t>9800</t>
  </si>
  <si>
    <t xml:space="preserve">Субвенція з місцевого бюджету державному бюджету на виконання програм соціально-економічного розвитку регіонів </t>
  </si>
  <si>
    <t>в т.ч. Програма реалізації заходів цивільного захисту населення та території Черкаської міської територіальної громади на 2023-2026 роки</t>
  </si>
  <si>
    <t>в т.ч. Програма підтримки Збройних Сил України на 2022-2023 роки</t>
  </si>
  <si>
    <t>в т.ч. Програма забезпечення законності та профілактики правопорушень у місті Черкаси на 2022-2026 роки</t>
  </si>
  <si>
    <t>в т.ч. Програма протидії тероризму на території міста Черкаси на 2021-2025 роки</t>
  </si>
  <si>
    <t>1219820</t>
  </si>
  <si>
    <t>9820</t>
  </si>
  <si>
    <t>в т.ч. Програма підтримки Збройних Сил України в 2022 році</t>
  </si>
  <si>
    <t>в т.ч. Міська цільова програма заходів та робіт з територіальної оборони м. Черкаси на 2022 рік</t>
  </si>
  <si>
    <t>1400000</t>
  </si>
  <si>
    <t>Управління інспектування ЧМР</t>
  </si>
  <si>
    <t>1410000</t>
  </si>
  <si>
    <t>1410160</t>
  </si>
  <si>
    <t>в т.ч. Програма впорядкування тимчасових споруд і зовнішньої реклами на території міста Черкаси на 2023-2025 роки</t>
  </si>
  <si>
    <t>1600000</t>
  </si>
  <si>
    <t>Департамент архітектури та  містобудування ЧМР</t>
  </si>
  <si>
    <t>1610000</t>
  </si>
  <si>
    <t>1610160</t>
  </si>
  <si>
    <t>в т.ч. Програма для забезпечення виконання рішень суду 2017-2020 роки</t>
  </si>
  <si>
    <t>0133</t>
  </si>
  <si>
    <t>Інша діяльність у сфері державного управління</t>
  </si>
  <si>
    <t>в т.ч. Програма розвитку земельних відносин та використання і охорони  земель в м. Черкаси на 2024-2028 роки</t>
  </si>
  <si>
    <t>Програма розвитку містобудівного кадастру міста Черкаси на 2020-2024 роки</t>
  </si>
  <si>
    <t>4084</t>
  </si>
  <si>
    <t>Проектування, реставрація та охорона пам'яток культурної спадщини</t>
  </si>
  <si>
    <t>5031</t>
  </si>
  <si>
    <t>1617310</t>
  </si>
  <si>
    <t>1617321</t>
  </si>
  <si>
    <t>7324</t>
  </si>
  <si>
    <t>7325</t>
  </si>
  <si>
    <t>6430</t>
  </si>
  <si>
    <t>1617370</t>
  </si>
  <si>
    <t>Програма розроблення містобудівної документації у м. Черкаси на 2016-2020 роки</t>
  </si>
  <si>
    <t>в т.ч. Програма розвитку дизайну міського середовища та зовнішньої реклами у м. Черкаси на 2016-2018 роки</t>
  </si>
  <si>
    <t>1617460</t>
  </si>
  <si>
    <t>1617461</t>
  </si>
  <si>
    <t>1617650</t>
  </si>
  <si>
    <t>1617660</t>
  </si>
  <si>
    <t>1618240</t>
  </si>
  <si>
    <t>1618311</t>
  </si>
  <si>
    <t>8311</t>
  </si>
  <si>
    <t>0511</t>
  </si>
  <si>
    <t>1618312</t>
  </si>
  <si>
    <t>1619750</t>
  </si>
  <si>
    <t>Субвенція з місцевого бюджету на співфінансування інвестиційних проектів</t>
  </si>
  <si>
    <t>1700000</t>
  </si>
  <si>
    <t>Управління державного архітектурно-будівельного контролю ЧМР</t>
  </si>
  <si>
    <t>1710000</t>
  </si>
  <si>
    <t>1710160</t>
  </si>
  <si>
    <t>1900000</t>
  </si>
  <si>
    <t>Департамент дорожньо-транспортної інфраструктури та екології ЧМР</t>
  </si>
  <si>
    <t>1910000</t>
  </si>
  <si>
    <t>1910160</t>
  </si>
  <si>
    <t>Керівництво і управління у відповідній сфері у містах (місті Києві), селищах, селах, об’єднаних територіальних громадах</t>
  </si>
  <si>
    <t>1916030</t>
  </si>
  <si>
    <t>1916090</t>
  </si>
  <si>
    <t>1917310</t>
  </si>
  <si>
    <t>1917426</t>
  </si>
  <si>
    <t>1917450</t>
  </si>
  <si>
    <t>1917461</t>
  </si>
  <si>
    <t>1917691</t>
  </si>
  <si>
    <t>1918240</t>
  </si>
  <si>
    <t>1918312</t>
  </si>
  <si>
    <t>1918340</t>
  </si>
  <si>
    <t>2000000</t>
  </si>
  <si>
    <t>Департамент організаційного забезпечення ЧМР</t>
  </si>
  <si>
    <t>2010000</t>
  </si>
  <si>
    <t>2010160</t>
  </si>
  <si>
    <t>2010170</t>
  </si>
  <si>
    <t>0170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</si>
  <si>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</si>
  <si>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 </t>
  </si>
  <si>
    <t xml:space="preserve">в т.ч.:  Міська програма здійснення заходів, що не могли бути передбачені під час складання бюджету та порядок надання матеріальної допомоги громадянам міста </t>
  </si>
  <si>
    <t>Програма сприяння діяльності органів самоорганізації населення міста Черкаси на 2017-2021</t>
  </si>
  <si>
    <t xml:space="preserve">Програма "Громадський бюджет міста Черкаси на 2015-2019 роки" </t>
  </si>
  <si>
    <t>Програма фінансування заходів, пов'язаних із нагородженням міськими відзнаками громадян, трудових колективів на 2016-2020 роки</t>
  </si>
  <si>
    <t>Програма забезпечення діяльності загонів оборони міста Черкаси, волонтерських та громадських організацій, залучених до оборонної роботи, військово-патріотичного виховання громадян, соціальної реабілітації та адаптації учасників АТО на 2016-2019 роки</t>
  </si>
  <si>
    <t>Програма діяльності загонів оборони міста Черкаси волонтерських та громадських організацій, залучених до оборонної роботи, військово-патріотичного виховання громадян, соціальної реабілітації та адаптації учасників АТО, на 2016-2019 роки</t>
  </si>
  <si>
    <t>2013242</t>
  </si>
  <si>
    <t>1090 </t>
  </si>
  <si>
    <t>в т.ч. Міська Програма соціальної підтримки мешканців м. Черкаси, які забезпечують національну безпеку і оборону, відсіч і стримування збройної агресії Російської Федерації у Донецькій та Луганській областях, членів їх сімей та членів сімей загиблих громадян, які захищали державний суверенітет України на 2019-2021</t>
  </si>
  <si>
    <t>2014080</t>
  </si>
  <si>
    <t>2014082</t>
  </si>
  <si>
    <t>2018400</t>
  </si>
  <si>
    <t>2018410</t>
  </si>
  <si>
    <t>2018420</t>
  </si>
  <si>
    <t>2017370</t>
  </si>
  <si>
    <t>2017680</t>
  </si>
  <si>
    <t>в т.ч.:  Міська Програма здійснення заходів, що не могли бути передбачені під час складання бюджету та порядок надання матеріальної допомоги громадянам міста</t>
  </si>
  <si>
    <t>2018220</t>
  </si>
  <si>
    <t>в т.ч. міська цільова Програма організації і сприяння приписці громадян до призовних дільниць та їх призову на строкову військову службу у 2017 - 2021</t>
  </si>
  <si>
    <t>2018230</t>
  </si>
  <si>
    <t>Інші заходи громадського порядку та безпеки</t>
  </si>
  <si>
    <t>в т.ч. Програма забезпечення правопорядку в м. Черкаси на 2016-2020 роки</t>
  </si>
  <si>
    <t>2300000</t>
  </si>
  <si>
    <t>Управління інформаційної політики ЧМР</t>
  </si>
  <si>
    <t>2310000</t>
  </si>
  <si>
    <t>2310160</t>
  </si>
  <si>
    <t>2310180</t>
  </si>
  <si>
    <t>Міська цільова програм "Громадський бюджет міста Черкаси на 2019-2022 роки"</t>
  </si>
  <si>
    <t>Міська цільова програма сприяння діяльності органів самоорганізації населення міста Черкаси</t>
  </si>
  <si>
    <t>Міська цільова програма сприяння діяльності органів самоорганізації населення міста Черкаси на 2017-2022</t>
  </si>
  <si>
    <t>2317330</t>
  </si>
  <si>
    <t>2317680</t>
  </si>
  <si>
    <t>2318220</t>
  </si>
  <si>
    <t>в т.ч. Міська програма організації і сприяння приписці громадян до призовних дільниць та їх призову на строкову військову службу у 2022-2024 роках</t>
  </si>
  <si>
    <t>2318230</t>
  </si>
  <si>
    <t>2318420</t>
  </si>
  <si>
    <t>Програма підтримки засобів масової інформації та сприяння розвитку інформаційної сфери на 2015-2019 роки</t>
  </si>
  <si>
    <t>2319800</t>
  </si>
  <si>
    <t>2700000</t>
  </si>
  <si>
    <t>Департамент економіки та розвитку ЧМР</t>
  </si>
  <si>
    <t>2710000</t>
  </si>
  <si>
    <t>2710160</t>
  </si>
  <si>
    <t>в т.ч.  Міська Програма управління об’єктами власності Черкаської міської територіальної громади на 2022-2026 роки</t>
  </si>
  <si>
    <t>2713210</t>
  </si>
  <si>
    <t>2717330</t>
  </si>
  <si>
    <t>2717370</t>
  </si>
  <si>
    <t>2717530</t>
  </si>
  <si>
    <t>2717610</t>
  </si>
  <si>
    <t>0411</t>
  </si>
  <si>
    <t>в т.ч. Програма сприяння залученню інвестицій та розвитку підприємництва у м.Черкаси на 2022-2026 роки</t>
  </si>
  <si>
    <t>2717640</t>
  </si>
  <si>
    <t>в т.ч. Програма підвищення енергоефективності та зменшення споживання енергоресурсів у місті Черкасах на 2022-2026 роки</t>
  </si>
  <si>
    <t>2717670</t>
  </si>
  <si>
    <t>2718775</t>
  </si>
  <si>
    <t>Інші заходи за рахунок коштів резервного фонду місцевого бюджету</t>
  </si>
  <si>
    <t>2717693</t>
  </si>
  <si>
    <t>7693</t>
  </si>
  <si>
    <t>Інші заходи пов'язані з економічною діяльністю</t>
  </si>
  <si>
    <t>в т.ч. Програма розроблення стратегічного плану розвитку м. Черкаси до 2030 року на 2017-2021 роки</t>
  </si>
  <si>
    <t>в т.ч. за рахунок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</si>
  <si>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2900000</t>
  </si>
  <si>
    <t>Управління цивільного захисту ЧМР</t>
  </si>
  <si>
    <t>2910000</t>
  </si>
  <si>
    <t>2910160</t>
  </si>
  <si>
    <t>2917330</t>
  </si>
  <si>
    <t>2918110</t>
  </si>
  <si>
    <t>2918120</t>
  </si>
  <si>
    <t>2918220</t>
  </si>
  <si>
    <t>2918240</t>
  </si>
  <si>
    <t>2919770</t>
  </si>
  <si>
    <t>в т.ч. Програма підтримки Збройних Сил України на 2024-2025 роки</t>
  </si>
  <si>
    <t>з них: за рахунок розподілу залишку бюджетних коштів, що утворився станом на 01.01.2024 на підтримку Збройних Сил України</t>
  </si>
  <si>
    <t>2919800</t>
  </si>
  <si>
    <t>в т.ч. Міська програма організації і сприяння приписці громадян до призовних дільниць, їх призову на військову службу та здійснення заходів, пов'язаних з мобілізацією у 2022-2024 роках</t>
  </si>
  <si>
    <t>в т.ч. Міська цільова програма заходів та робіт з територіальної оборони м. Черкаси на 2022-2024 роки</t>
  </si>
  <si>
    <t>3310191</t>
  </si>
  <si>
    <t>0191</t>
  </si>
  <si>
    <t>Проведення місцевих виборів</t>
  </si>
  <si>
    <t>2919820</t>
  </si>
  <si>
    <t>3000000</t>
  </si>
  <si>
    <t>Департамент управління справами та юридичного забезпечення ЧМР</t>
  </si>
  <si>
    <t>3010000</t>
  </si>
  <si>
    <t>3010160</t>
  </si>
  <si>
    <t>в т.ч. програма забезпечення виконання судових рішень на 2024-2025 роки</t>
  </si>
  <si>
    <t>3010180</t>
  </si>
  <si>
    <t>в т.ч. програма фінансування заходів, пов'язаних із нагородженням міськими відзнаками громадян, трудових колективів на 2021-2025 роки</t>
  </si>
  <si>
    <t>3400000</t>
  </si>
  <si>
    <t>Департамент "Центр надання адміністративних послуг" ЧМР</t>
  </si>
  <si>
    <t>3410000</t>
  </si>
  <si>
    <t>3410160</t>
  </si>
  <si>
    <t>3410180</t>
  </si>
  <si>
    <t>3700000</t>
  </si>
  <si>
    <t>Департамент фінансової політики ЧМР</t>
  </si>
  <si>
    <t>3710000</t>
  </si>
  <si>
    <t>3710160</t>
  </si>
  <si>
    <t>в т.ч. Програма управління боргом на 2019-2027 роки</t>
  </si>
  <si>
    <t>3717693</t>
  </si>
  <si>
    <t>Інші заходи, пов'язані з економічною діяльністю</t>
  </si>
  <si>
    <t>3718600</t>
  </si>
  <si>
    <t>8600</t>
  </si>
  <si>
    <r>
      <t>0170</t>
    </r>
    <r>
      <rPr>
        <sz val="12"/>
        <rFont val="Times New Roman"/>
        <family val="1"/>
        <charset val="204"/>
      </rPr>
      <t> </t>
    </r>
  </si>
  <si>
    <t xml:space="preserve">Обслуговування місцевого боргу </t>
  </si>
  <si>
    <t>3718710</t>
  </si>
  <si>
    <t>8710</t>
  </si>
  <si>
    <t>Резервний фонд місцевого бюджету</t>
  </si>
  <si>
    <t>3719110</t>
  </si>
  <si>
    <t>9110</t>
  </si>
  <si>
    <t>3719800</t>
  </si>
  <si>
    <t xml:space="preserve">в т.ч. Програми здійснення додаткових заходів із мобілізації коштів до міського бюджету на 2018-2019 роки </t>
  </si>
  <si>
    <t>УСЬОГО</t>
  </si>
  <si>
    <t>АУП</t>
  </si>
  <si>
    <t>Держуправління</t>
  </si>
  <si>
    <t>Охорона здоров'я</t>
  </si>
  <si>
    <t>Соціальний захист</t>
  </si>
  <si>
    <t>Транспорт ,дорожнє господарство</t>
  </si>
  <si>
    <t>Перевырка</t>
  </si>
  <si>
    <t>зп+ен.</t>
  </si>
  <si>
    <t>ын</t>
  </si>
  <si>
    <t>бр</t>
  </si>
  <si>
    <t>Оборотна готівка</t>
  </si>
  <si>
    <t>Додаток 4
до рішення міської ради
"Про бюджет Черкаської міської територіальної громади на 2025 рік (2357600000)"
від _______________ № _________</t>
  </si>
  <si>
    <t>КРЕДИТУВАННЯ
бюджету Черкаської міської територіальної громади у 2025 році</t>
  </si>
  <si>
    <r>
      <t>Найменування
згідно головного розпорядника, відповідального виконавця, бюджетної програми або напряму видатків
згідно з типовою відомчою/ТПКВКМБ /
ТКВКБМС</t>
    </r>
    <r>
      <rPr>
        <sz val="10"/>
        <color indexed="10"/>
        <rFont val="Times New Roman CYR"/>
        <charset val="204"/>
      </rPr>
      <t>(старе)</t>
    </r>
  </si>
  <si>
    <t>Надання кредитів</t>
  </si>
  <si>
    <t>Повернення кредитів</t>
  </si>
  <si>
    <t>Кредитування-всього</t>
  </si>
  <si>
    <t>0618820</t>
  </si>
  <si>
    <t>8820</t>
  </si>
  <si>
    <t>Пільгові довгострокові кредити молодим сім`ям та одиноким молодим громадянам на будівництво/придбання житла та їх повернення</t>
  </si>
  <si>
    <t>0618821</t>
  </si>
  <si>
    <t>8821</t>
  </si>
  <si>
    <t>Надання пільгових довгострокових кредитів молодим сім'ям та одиноким молодим громадянам на будівництво/реконструкцію/придбання житла</t>
  </si>
  <si>
    <t>Надання пільгового довгострокового кредиту громадянам на будівництво (реконструкцію) та придбання житла</t>
  </si>
  <si>
    <t xml:space="preserve"> в т.ч. відповідно до Програми молодіжного житлового кредитування в м. Черкаси на 2018-2022 роки</t>
  </si>
  <si>
    <t xml:space="preserve"> в т.ч. відповідно до Програми молодіжного житлового кредитування в м.Черкаси на 2014-2017 роки 
</t>
  </si>
  <si>
    <t>0618822</t>
  </si>
  <si>
    <t>8822</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</si>
  <si>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</si>
  <si>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Повернення коштів, наданих для кредитування громадян на будівництво (реконструкцію) та придбання житла</t>
  </si>
  <si>
    <t>в т.ч. відповідно до Програми молодіжного житлового кредитування в м. Черкаси на 2018-2022 роки</t>
  </si>
  <si>
    <t xml:space="preserve">в т.ч. відповідно до Програми молодіжного житлового кредитування в м.Черкаси на 2014-2017 роки </t>
  </si>
  <si>
    <t>Департамент житлово-комунального комплексу</t>
  </si>
  <si>
    <t>8840</t>
  </si>
  <si>
    <t>Довгострокові кредити громадянам на будівництво / реконструкцію / придбання житла та їх повернення</t>
  </si>
  <si>
    <t>8841</t>
  </si>
  <si>
    <t xml:space="preserve">Надання довгострокових кредитів громадянам на будівництво / реконструкцію / придбання житла </t>
  </si>
  <si>
    <t xml:space="preserve"> в т.ч. відповідно до Програми пільгового житлового кредитування учасників антитерористичної операції і бійців-добровольців, які брали участь у захисті територіальної цілісності та державного суверенітету на Сході України та членів їх сімей в м.Черкаси на 2016 - 2020 роки</t>
  </si>
  <si>
    <t xml:space="preserve"> в т.ч. відповідно до Програми пільгового житлового кредитування учасникам антитерористичної операції в м.Черкаси на 2016-2020 роки
</t>
  </si>
  <si>
    <t>Повернення довгострокових кредитів, наданих громадянам на будівництво /  реконструкцію / придбання житла</t>
  </si>
  <si>
    <t>8861</t>
  </si>
  <si>
    <t>8091</t>
  </si>
  <si>
    <t>Надання бюджетних позичок суб`єктам господарювання</t>
  </si>
  <si>
    <t>КПТМ "Черкаситеплокомуненерго"</t>
  </si>
  <si>
    <t>8092</t>
  </si>
  <si>
    <t>Повернення бюджетних позичок, наданих суб`єктам господарювання</t>
  </si>
  <si>
    <t>75 Департамент фінансової політики ЧМР</t>
  </si>
  <si>
    <t>Інші послуги, пов’язані з економічною діяльністю</t>
  </si>
  <si>
    <t>Надання коштів для забезпечення гарантійних зобов'язань за позичальників, що отримали кредити під місцеві гарантії</t>
  </si>
  <si>
    <t>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 у т.ч.:</t>
  </si>
  <si>
    <t>КП "Черкасиводоканал"</t>
  </si>
  <si>
    <t xml:space="preserve">Всього </t>
  </si>
  <si>
    <t>Додаток 5
до рішення міської ради
"Про бюджет Черкаської міської територіальної громади на 2025 рік (2357600000)"
від _______________ № __________</t>
  </si>
  <si>
    <t>МІЖБЮДЖЕТНІ ТРАНСФЕРТИ НА 2025 РІК</t>
  </si>
  <si>
    <t>1. Показники міжбюджетних трансфертів з  інших бюджетів</t>
  </si>
  <si>
    <t>Код Класифікації доходу бюджету / 
Код бюджету</t>
  </si>
  <si>
    <t>Найменування трансферту / Найменування бюджету - надавача міжбюджетного трансферту</t>
  </si>
  <si>
    <r>
      <t xml:space="preserve">І. Трансферти </t>
    </r>
    <r>
      <rPr>
        <b/>
        <sz val="12"/>
        <rFont val="Times New Roman"/>
        <family val="1"/>
        <charset val="204"/>
      </rPr>
      <t>до</t>
    </r>
    <r>
      <rPr>
        <b/>
        <sz val="11"/>
        <rFont val="Times New Roman"/>
        <family val="1"/>
        <charset val="204"/>
      </rPr>
      <t xml:space="preserve"> загального фонду бюджету</t>
    </r>
  </si>
  <si>
    <t>Державний бюджет України</t>
  </si>
  <si>
    <t>Бюджет Кам’янської міської територіальної громади</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</si>
  <si>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</si>
  <si>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23100000000</t>
  </si>
  <si>
    <t xml:space="preserve">Обласний бюджет Черкаської області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</si>
  <si>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</si>
  <si>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</si>
  <si>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</si>
  <si>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</si>
  <si>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</si>
  <si>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</si>
  <si>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(Бюджет ______ ______ територіальної громади)</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</si>
  <si>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</si>
  <si>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</si>
  <si>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</si>
  <si>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</si>
  <si>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</si>
  <si>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</si>
  <si>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Найменування трансферту / Найменування бюджету -отримувача міжбюджетного трансферту</t>
  </si>
  <si>
    <t>І. Трансферти із загального фонду бюджету</t>
  </si>
  <si>
    <t>Обласний бюджет Черкаської області</t>
  </si>
  <si>
    <t>ІІ. Трансферти із спеціального фонду бюджету</t>
  </si>
  <si>
    <t>УСЬОГО  за розділами І, ІІ, у тому числі:</t>
  </si>
  <si>
    <t>Додаток 6
до рішення міської ради
"Про бюджет Черкаської міської територіальної громади на 2025 рік (2357600000)"
від _____________ № __________</t>
  </si>
  <si>
    <t>ОБСЯГИ капітальних вкладень у розрізі інвестиційних проектів у 2025 році</t>
  </si>
  <si>
    <t>2357600000</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</si>
  <si>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</si>
  <si>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</si>
  <si>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</si>
  <si>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</si>
  <si>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</si>
  <si>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</si>
  <si>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</si>
  <si>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Департамент економіки та розвитку</t>
  </si>
  <si>
    <t>Реалізація заходів, що спрямовуються на придбання основного капіталу, необоротних активів, будівництво, реконструкцію і реставрацію, капітальний ремонт об’єктів міської інфраструктури (розподіл коштів за об'єктами буде здійснено за окремим рішенням Черкаської міської ради при внесенні змін до бюджету Черкаської міської територіальної громади на 2025 рік)</t>
  </si>
  <si>
    <t xml:space="preserve">Директор департаменту фінансової політики      </t>
  </si>
  <si>
    <t>Додаток 7
до рішення міської ради
"Про бюджет Черкаської міської територіальної громади на 2025 рік (2357600000)"
від _______________ № _________</t>
  </si>
  <si>
    <t>РОЗПОДІЛ
витрат бюджету Черкаської міської територіальної громади на реалізацію місцевих/регіональних програм у 2025 році</t>
  </si>
  <si>
    <t>Код типової відомчої класифікації видатків</t>
  </si>
  <si>
    <t>Код Програмної класифікації видатків та кредитування місцевого бюджету</t>
  </si>
  <si>
    <t>Код тимчасової класифікації видатків та кредитування місцевого бюджету</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</si>
  <si>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 (старе)</t>
  </si>
  <si>
    <t>Найменування місцевої / регіональної програми</t>
  </si>
  <si>
    <t>Дата та номер документа, яким затверджено місцеву (регіональну) програму</t>
  </si>
  <si>
    <t>1</t>
  </si>
  <si>
    <t>2</t>
  </si>
  <si>
    <t>101ххх0</t>
  </si>
  <si>
    <t>10 Департамент освіти та гуманітарної політики ЧМР</t>
  </si>
  <si>
    <t xml:space="preserve"> Департамент освіти та гуманітарної політики ЧМР</t>
  </si>
  <si>
    <t>070101</t>
  </si>
  <si>
    <t xml:space="preserve">Дошкільні заклади освіти </t>
  </si>
  <si>
    <t>Комплексна програма соціальної підтримки захисників державного суверенітету та незалежності України і членів їх сімей – жителів м. Черкаси на 2025-2027 роки</t>
  </si>
  <si>
    <t>рішення міської ради від 05.12.2024 № 68-5</t>
  </si>
  <si>
    <t>Міська програма розвитку дошкільної освіти міста Черкаси на 2022-2026 роки</t>
  </si>
  <si>
    <t>рішення міської ради від 09.11.2021 № 13-14 (зі змінами)</t>
  </si>
  <si>
    <t>Міська програма стимулювання педагогічних працівників закладів дошкільної освіти м. Черкаси та дошкільного підрозділу Черкаського навчально-виховного об'єднання "Дошкільний навчальний заклад - загальноосвітня школа І-ІІ ступенів № 36" ім. Героїв-прикордонників Черкаської міської ради Черкаської області на 2024-2025 роки</t>
  </si>
  <si>
    <t>рішення міської ради від 22.12.2023 № 51-8</t>
  </si>
  <si>
    <t>Міська програма соціально-економічного і культурного розвитку міста Черкаси на 2020-2024 роки</t>
  </si>
  <si>
    <t>рішення міської ради від 27.01.2020 № 2-5678 (зі змінами)</t>
  </si>
  <si>
    <t>Програма організації харчування у закладах загальної середньої освіти комунальної власності міста Черкаси на 2022-2027 роки</t>
  </si>
  <si>
    <t>рішення міської ради від 09.11.2021 № 13-13 (зі змінами)</t>
  </si>
  <si>
    <t>Міська програма розвитку загальної середньої освіти міста Черкаси на 2022-2027 роки</t>
  </si>
  <si>
    <t>рішення міської ради від 09.11.2021 № 13-10 (зі змінами)</t>
  </si>
  <si>
    <t>1142</t>
  </si>
  <si>
    <t>070802</t>
  </si>
  <si>
    <t>Методична робота, інші заходи у сфері народної освіти </t>
  </si>
  <si>
    <t>Міська програма забезпечення проведення профілактичних медичних оглядів працівників установ та закладів освіти, культури, фізичної культури і спорту, підпорядкованих департаменту освіти та гуманітарної політики ЧМР на 2023-2027 роки</t>
  </si>
  <si>
    <t>рішення міської ради від 29.09.2022 № 30-6</t>
  </si>
  <si>
    <t>Міська програма розвитку закладів дошкільної освіти міста Черкаси на 2022-2026 роки</t>
  </si>
  <si>
    <t>рішення міської ради від 09.11.2021 № 13-14</t>
  </si>
  <si>
    <t>Міська програма розвитку закладів позашкільної освіти м. Черкаси на 2022-2026 роки</t>
  </si>
  <si>
    <t>рішення міської ради від 09.11.2021 № 13-11</t>
  </si>
  <si>
    <t>Міська цільова комплексна програма підтримки молоді м. Черкаси на 2022-2026 роки</t>
  </si>
  <si>
    <t>рішення міської ради від 09.11.2021 № 13-9</t>
  </si>
  <si>
    <t>Міська цільова комплексна програма національно-патріотичного виховання дітей та молоді на 2023-2027 роки</t>
  </si>
  <si>
    <t>рішення виконавчого комітету Черкаської міської ради від 04.11.2022 № 978</t>
  </si>
  <si>
    <t>091108</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</si>
  <si>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 </t>
  </si>
  <si>
    <t>Програма оздоровлення та відпочинку дітей м.Черкаси на 2016-2020 роки</t>
  </si>
  <si>
    <t>рішення міської ради від 24.12.2015 № 2-25 (зі змінами)</t>
  </si>
  <si>
    <t>091106</t>
  </si>
  <si>
    <t>Інші видатки </t>
  </si>
  <si>
    <t>Програма підтримки сімей та молоді м.Черкаси на 2017-2021 роки</t>
  </si>
  <si>
    <t>рішення міської ради від 13.02.2017 № 2-1648</t>
  </si>
  <si>
    <t>Міська програма забезпечення проведення профілактичних медичних оглядів працівників установ та закладів освіти, культури, фізичної культури і спорту, закладів роботи з молоддю, підпорядкованих департаменту освіти та гуманітарної політики ЧМР на 2017-2019 роки</t>
  </si>
  <si>
    <t>рішення міської ради від 16.12.2016 № 2-1509</t>
  </si>
  <si>
    <t>Програма організації та проведення у м. Черкаси державних та місцевих свят, відзначення знаменних і пам'ятних дат, визначних історичних подій, інших заходів на 2017-2021 роки</t>
  </si>
  <si>
    <t>рішення міської ради від 13.02.2017 № 2-1645 (зі змінами)</t>
  </si>
  <si>
    <t>рішення міської ради від 09.11.2021 № 13-10</t>
  </si>
  <si>
    <t>Міська програма "Мистецькі Черкаси" на 2025-2029 роки</t>
  </si>
  <si>
    <t>рішення міської ради від 31.10.2024 № 66-8</t>
  </si>
  <si>
    <t>Інші культурно-освітні заклади та заходи </t>
  </si>
  <si>
    <t>Міська програма "Черкаські таланти" на 2016-2020 роки</t>
  </si>
  <si>
    <t>рішення міської ради від 24.12.2015 № 2-26</t>
  </si>
  <si>
    <t>Міська програма надання стипендій для реалізації проєктів у галузі культури м.Черкаси на 2024-2028 роки</t>
  </si>
  <si>
    <t>рішення міської ради від 22.12.2023 № 51-7</t>
  </si>
  <si>
    <t>Міська програма "Черкаські таланти" на 2021-2025 роки</t>
  </si>
  <si>
    <t>рішення міської ради від 24.12.2020 № 2-35 (зі змінами)</t>
  </si>
  <si>
    <t>130102</t>
  </si>
  <si>
    <t>Проведення навчально-тренувальних зборів і змагань </t>
  </si>
  <si>
    <t>Міська програма сприяння проведенню змагань національного та міжнародного рівня у м.Черкаси на 2015-2020 роки</t>
  </si>
  <si>
    <t>рішення міської ради від 22.01.2015 № 2-683</t>
  </si>
  <si>
    <t>Міська програма розвитку єдиноборств у м. Черкаси на 2019-2023 роки</t>
  </si>
  <si>
    <t>рішення міської ради від 24.01.2019 № 2-3905 (зі змінами)</t>
  </si>
  <si>
    <t>Міська програма сприяння проведенню змагань національного та міжнародного рівня у м. Черкаси на 2021-2025 роки</t>
  </si>
  <si>
    <t>рішення міської ради від 11.03.2021 № 4-264</t>
  </si>
  <si>
    <t>Міська програма розвитку фізичної культури та спорту у м. Черкаси на 2022-2026 роки</t>
  </si>
  <si>
    <t>рішення міської ради від 29.07.2021 № 8-4</t>
  </si>
  <si>
    <t>101ххх1</t>
  </si>
  <si>
    <t>250908</t>
  </si>
  <si>
    <t>Програма молодіжного житлового кредитування у м. Черкаси на 2023-2027 роки</t>
  </si>
  <si>
    <t>рішення міської ради від 26.01.2023 № 35-22</t>
  </si>
  <si>
    <t>Програма цифрового перетворення Черкаської міської територіальної громади "Цифрове місто" на 2022-2025 роки</t>
  </si>
  <si>
    <t>рішення міської ради від 01.12.2022 № 33-24 (зі змінами)</t>
  </si>
  <si>
    <t>101ххх2</t>
  </si>
  <si>
    <t xml:space="preserve">Надання пільгових довгострокових кредитів молодим сім'ям та одиноким молодим громадянам на будівництво/реконструкцію/придбання житла  </t>
  </si>
  <si>
    <t xml:space="preserve">Витрати, пов'язані з наданням та обслуговуванням пільгових довгострокових кредитів, наданих громадянам на будівництво (реконструкцію) та придбання житла </t>
  </si>
  <si>
    <t>Програма промоції м. Черкаси на 2021-2025 роки</t>
  </si>
  <si>
    <t>рішення міської ради від 15.06.2021 № 6-30 (зі змінами)</t>
  </si>
  <si>
    <t>Міська програма "Мистецькі Черкаси" на 2020-2024 роки</t>
  </si>
  <si>
    <t>рішення міської ради від 13.12.2019 № 2-5413</t>
  </si>
  <si>
    <t>14 Департамент охорони здоров'я та медичних послуг ЧМР</t>
  </si>
  <si>
    <t>2010</t>
  </si>
  <si>
    <t>080101</t>
  </si>
  <si>
    <t>Лікарні</t>
  </si>
  <si>
    <t xml:space="preserve">Міська програма фінансової підтримки комунальних некомерційних підприємств (закладів охорони здоров’я) Черкаської міської ради на 2024-2026 роки </t>
  </si>
  <si>
    <t>рішення міської ради від 19.10.2023 № 48-12</t>
  </si>
  <si>
    <t>080203</t>
  </si>
  <si>
    <t>Перинатальні центри, пологові будинки</t>
  </si>
  <si>
    <t>2080</t>
  </si>
  <si>
    <t>080300</t>
  </si>
  <si>
    <t>Поліклініки і амбулаторії (крім спеціалізованих поліклінік та загальних і спеціалізованих стоматологічних поліклінік) </t>
  </si>
  <si>
    <t>2100</t>
  </si>
  <si>
    <t>2111</t>
  </si>
  <si>
    <t>2151</t>
  </si>
  <si>
    <t>2152</t>
  </si>
  <si>
    <t>Міська програма "Пільгове зубопротезування та планове лікування стоматологічних захворювань окремих категорій громадян міста Черкаси на 2019-2021 роки"</t>
  </si>
  <si>
    <t>рішення міської ради від 24.01.2019 № 2-3746 (зі змінами)</t>
  </si>
  <si>
    <t>Програма організації і сприяння взяття громадян на військовий облік призовників, їх призову на військову службу та здійснення заходів, пов'язаних з мобілізацією на 2025 – 2027 роки</t>
  </si>
  <si>
    <t>рішення міської ради від 05.12.2024 № 68-1</t>
  </si>
  <si>
    <t>Міська програма надання медичних послуг жителям міста Черкаси понад обсяг, передбачений програмою державних гарантій медичного обслуговування населення, на 2024-2026 роки</t>
  </si>
  <si>
    <t>рішення міської ради від 19.10.2023 № 48-11</t>
  </si>
  <si>
    <t>151ххх0</t>
  </si>
  <si>
    <t>15 Департамент соціальної політики ЧМР</t>
  </si>
  <si>
    <t>Міська соціальна програма "Турбота" на 2024-2028 роки</t>
  </si>
  <si>
    <t>рішення міської ради від 28.09.2023 № 47-34</t>
  </si>
  <si>
    <t>Програма розвитку міського електротранспорту у м. Черкаси на 2017-2020 роки</t>
  </si>
  <si>
    <t>рішення міської ради від 05.10.2017 № 2-2379 (зі змінами)</t>
  </si>
  <si>
    <t>090212</t>
  </si>
  <si>
    <t>Пільги на медичне обслуговування громадян, які постраждали в наслідок Чорнобильської катастрофи</t>
  </si>
  <si>
    <t>рішення міської ради від 10.11.2017 № 2-2578 (зі змінами)</t>
  </si>
  <si>
    <t>1020</t>
  </si>
  <si>
    <t>Міська програма проведення культурно-просвітницьких заходів для осіб похилого віку, слухачів «Університету ІІІ віку» на 2025-2029</t>
  </si>
  <si>
    <t>рішення міської ради від 31.10.2024 № 66-11</t>
  </si>
  <si>
    <t>Програма соціальної підтримки сімей м. Черкаси на 2021-2025 роки</t>
  </si>
  <si>
    <t>рішення міської ради від 26.01.2021 № 3-42 (зі змінами)</t>
  </si>
  <si>
    <t>091207</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</si>
  <si>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</si>
  <si>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091209</t>
  </si>
  <si>
    <t>Фінансова підтримка громадських організацій інвалідів і ветеранів</t>
  </si>
  <si>
    <t>Програма зайнятості населення м. Черкаси на 2019-2023 роки</t>
  </si>
  <si>
    <t>рішення міської ради від 21.03.2019 № 2-4172 (зі змінами)</t>
  </si>
  <si>
    <t>Програма надання підтримки внутрішньо переміщеним та/або евакуйованим особам у м.Черкаси у зв’язку із введенням воєнного стану на 2022-2024 роки</t>
  </si>
  <si>
    <t>рішення виконавчого комітету Черкаської міської ради від 20.09.2022 № 750 (зі змінами)</t>
  </si>
  <si>
    <t>090412</t>
  </si>
  <si>
    <t>Міська програма соціальної підтримки мешканців м. Черкаси, які забезпечують національну безпеку і оборону, відсіч і стримування збройної агресії Російської Федерації у Донецькій та Луганській областях, членів їх сімей та членів сімей загиблих громадян, які захищали державний суверенітет України на 2019-2021</t>
  </si>
  <si>
    <t>рішення міської ради від 23.10.2018 № 2-3710 (зі змінами)</t>
  </si>
  <si>
    <t>Програма соціального захисту дітей міста Черкаси на 2023-2025 роки</t>
  </si>
  <si>
    <t>рішення міської ради від 28.03.2023 № 39-20</t>
  </si>
  <si>
    <t xml:space="preserve"> 40 Департамент житлово-комунального комплексу ЧМР</t>
  </si>
  <si>
    <t>Програма розвитку і утримання житлово-комунального господарства міста Черкаси на 2016-2020 роки</t>
  </si>
  <si>
    <t>рішення міської ради від 28.07.2016 № 2-824 (зі змінами)</t>
  </si>
  <si>
    <t>Програма співфінансування капітального ремонту та реконструкції багатоквартирних житлових  будинків (крім ОСББ) у місті Черкаси на 2023-2025 роки</t>
  </si>
  <si>
    <t>рішення міської ради від 14.02.2023 № 36-19</t>
  </si>
  <si>
    <t>Програма підтримки об'єднань співвласників багатоквартирних будинків (ОСББ, асоціацій ОСББ) у м. Черкаси "Формування відповідального власника житла" на 2023-2025 роки</t>
  </si>
  <si>
    <t>рішення міської ради від 18.05.2023 № 41-46</t>
  </si>
  <si>
    <t>Програма розвитку і утримання житлово-комунального господарства міста Черкаси на 2022-2026 роки</t>
  </si>
  <si>
    <t>рішення міської ради від 20.01.2022 № 17-81</t>
  </si>
  <si>
    <t>Благоустрій міст, сіл, селищ</t>
  </si>
  <si>
    <t>Програма "Екологія 2021-2026"</t>
  </si>
  <si>
    <t>рішення міської ради від 24.12.2020 № 2-42 (зі змінами)</t>
  </si>
  <si>
    <t>рішення міської ради від 20.01.2022 № 17-81 (зі змінами)</t>
  </si>
  <si>
    <t>Заходи пов'язані з поліпшенням питної води</t>
  </si>
  <si>
    <t>6071</t>
  </si>
  <si>
    <t>Міська програма пільгового житлового кредитування учасників антитерористичної операції/ операції об’єднаних сил і бійців добровольців, які брали участь у захисті територіальної цілісності та державного суверенітету на Сході України, осіб, які брали безпосередню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членів їх сімей в м. Черкаси на 2021-2025 роки</t>
  </si>
  <si>
    <t>рішення міської ради від від 25.11.2020 № 2-6405  (зі змінами)</t>
  </si>
  <si>
    <t>Програма поводження з безпритульними тваринами у місті Черкаси на 2021-2025 роки</t>
  </si>
  <si>
    <t xml:space="preserve">рішення міської ради від 24.12.2020 № 2-41 </t>
  </si>
  <si>
    <t>Програма розвитку міського електротранспорту у м. Черкаси на 2022-2025 роки</t>
  </si>
  <si>
    <t>рішення міської ради від 09.12.2021 № 15-20</t>
  </si>
  <si>
    <t>Програма переоснащення комунальних підприємств міста Черкаси на 2019-2024 роки</t>
  </si>
  <si>
    <t>рішення міської ради від 05.03.2019 № 2-4035</t>
  </si>
  <si>
    <t>Програма розвитку міського електротранспорту у м. Черкаси на 2021 рік</t>
  </si>
  <si>
    <t>рішення міської ради від 01.10.2020 № 2-6401</t>
  </si>
  <si>
    <t>210105</t>
  </si>
  <si>
    <t>Видатки на запобігання та ліквідацію надзвичайних ситуацій та наслідків стихійного лиха </t>
  </si>
  <si>
    <t>Міська цільова програма сприяння співвласникам багатоквартирних будинків в підготовці житлового фонду м. Черкас до опалювального сезону в умовах воєнного стану на 2022-2024 роки</t>
  </si>
  <si>
    <t>рішення міської ради від 22.12.2022 № 34-31 (зі змінами)</t>
  </si>
  <si>
    <t>1218320</t>
  </si>
  <si>
    <t>Програма "Екологія 2015-2020"</t>
  </si>
  <si>
    <t>рішення міської ради від 22.01.2015 № 2-686 (зі змінами)</t>
  </si>
  <si>
    <t>Міська цільова програма заходів та робіт з територіальної оборони м. Черкаси на 2022-2023 роки</t>
  </si>
  <si>
    <t>рішення міської ради від 01.12.2022 № 33-25</t>
  </si>
  <si>
    <t>1218841</t>
  </si>
  <si>
    <t>250913</t>
  </si>
  <si>
    <t>рішення міської ради від від 25.11.2020 № 2-6405 (зі змінами)</t>
  </si>
  <si>
    <t>Програма реалізації заходів цивільного захисту населення та території Черкаської міської територіальної громади на 2023-2026 роки</t>
  </si>
  <si>
    <t>рішення міської ради від 22.12.2022 № 34-30</t>
  </si>
  <si>
    <t>Програма підтримки Збройних Сил України на 2022-2023 роки</t>
  </si>
  <si>
    <t>рішення міської ради від 03.03.2022 № 21-1 (зі змінами)</t>
  </si>
  <si>
    <t>Програма забезпечення законності та профілактики правопорушень у місті Черкаси на 2022-2026 роки</t>
  </si>
  <si>
    <t>рішення міської ради від 23.12.2021 № 16-3 (зі змінами)</t>
  </si>
  <si>
    <t>Програма протидії тероризму на території міста Черкаси на 2021-2025 роки</t>
  </si>
  <si>
    <t>рішення міської ради від 15.06.2021 № 6-32 (зі змінами)</t>
  </si>
  <si>
    <t>Міська цільова програма заходів та робіт з територіальної оборони м. Черкаси на 2022 рік</t>
  </si>
  <si>
    <t>рішення виконавчого комітету Черкаської міської ради від 21.4.2022 № 300</t>
  </si>
  <si>
    <t>Програма підтримки Збройних Сил України в 2022 році</t>
  </si>
  <si>
    <t>рішення міської ради від 03.03.2022 № 21-2</t>
  </si>
  <si>
    <t>250404</t>
  </si>
  <si>
    <t>Програма впорядкування тимчасових споруд і зовнішньої реклами на території міста Черкаси на 2023-2025 роки</t>
  </si>
  <si>
    <t>рішення виконавчого комітету Черкаської міської ради від 04.11.2022 № 964</t>
  </si>
  <si>
    <t>151ххх1</t>
  </si>
  <si>
    <t>Департамент архітектури та містобудування ЧМР</t>
  </si>
  <si>
    <t>48 Департамент архітектури та містобудування ЧМР</t>
  </si>
  <si>
    <t>170703</t>
  </si>
  <si>
    <t>Видатки на проведення робіт, пов'язаних із будівництвом, реконструкцією, ремонтом та утриманням автомобільних доріг</t>
  </si>
  <si>
    <t>1610180</t>
  </si>
  <si>
    <t>Програма розвитку земельних відносин та використання і охорони  земель в м. Черкаси на 2024-2028 роки</t>
  </si>
  <si>
    <t>рішення міської ради від 22.12.2023 № 51-10</t>
  </si>
  <si>
    <t>рішення міської ради від 13.12.2019 № 2-5395 (зі змінами)</t>
  </si>
  <si>
    <t>1614084</t>
  </si>
  <si>
    <t>Програма охорони культурної спадщини на 2023-2027 роки</t>
  </si>
  <si>
    <t>рішення міської ради від 15.08.2023 № 45-6</t>
  </si>
  <si>
    <t>1617350</t>
  </si>
  <si>
    <t>Програма розроблення містобудівної документації у м.Черкаси на 2016-2020 роки</t>
  </si>
  <si>
    <t>рішення міської ради від 21.03.2019 № 2-4224 (зі змінами)</t>
  </si>
  <si>
    <t>200200</t>
  </si>
  <si>
    <t>Програма розвитку дизайну міського середовища та зовнішньої реклами в м. Черкаси на 2022-2024 роки</t>
  </si>
  <si>
    <t>рішення міської ради від 03.02.2023 № 18-2</t>
  </si>
  <si>
    <t>Програма будівництва, реконструкції, ремонту та утримання об'єктів вулично-дорожньої мережі міста Черкаси на 2021 -2025 роки</t>
  </si>
  <si>
    <t>рішення міської ради від 24.12.2020 № 2-44</t>
  </si>
  <si>
    <t>Програма для забезпечення виконання рішень суду 2017-2020 роки</t>
  </si>
  <si>
    <t>рішення міської ради від 12.05.2017 № 2-1995 (зі змінами)</t>
  </si>
  <si>
    <t>Міська цільова програма заходів та робіт з територіальної оборони м. Черкаси на 2022-2024 роки</t>
  </si>
  <si>
    <t>рішення міської ради від 01.12.2022 № 33-25
(зі змінами)</t>
  </si>
  <si>
    <t>Програма розвитку земельних відносин та використання і охорони  земель в м. Черкаси на 2019-2023 роки</t>
  </si>
  <si>
    <t>0100000</t>
  </si>
  <si>
    <t xml:space="preserve">Департамент дорожньо-транспортної інфраструктури та екології ЧМР </t>
  </si>
  <si>
    <t xml:space="preserve">02 Департамент організаційного забезпечення ЧМР </t>
  </si>
  <si>
    <t>Програма боротьби з карантинними бур'янами у м. Черкаси на 2021-2027 роки</t>
  </si>
  <si>
    <t>рішення міської ради від 06.04.2021 № 5-20</t>
  </si>
  <si>
    <t>Програма запобігання утворенню та управління відходами міста Черкаси на 2023-2026 роки</t>
  </si>
  <si>
    <t>рішення міської ради від 15.08.2023 № 45-23</t>
  </si>
  <si>
    <t>рішення міської ради від 09.12.2021 № 15-20 (зі змінами)</t>
  </si>
  <si>
    <t>Програма будівництва, реконструкції, ремонту та утримання об'єктів вулично-дорожньої мережі міста Черкаси на 2021-2025 роки</t>
  </si>
  <si>
    <t>рішення міської ради від 24.12.2020 № 2-44  (зі змінами)</t>
  </si>
  <si>
    <t>240604</t>
  </si>
  <si>
    <t>Інша діяльність у сфері охорони навколишнього природного середовища </t>
  </si>
  <si>
    <t>Програма переоснащення комунальних підприємств міста Черкаси на 2019-2026 роки</t>
  </si>
  <si>
    <t>рішення міської ради від 05.03.2019 № 2-4035 (зі змінами)</t>
  </si>
  <si>
    <t xml:space="preserve">Управління інформаційної політики ЧМР </t>
  </si>
  <si>
    <t>Міська Програма здійснення заходів, що не могли бути передбачені під час складання бюджету та порядок надання матеріальної допомоги громадянам міста</t>
  </si>
  <si>
    <t>рішення міської ради від 17.03.2015 № 2-1096 (зі змінами)</t>
  </si>
  <si>
    <t>Міська цільова програма "Громадський бюджет міста Черкаси на 2019-2022 роки"</t>
  </si>
  <si>
    <t>рішення міської ради від 26.12.2019 № 2-5574</t>
  </si>
  <si>
    <t>рішення виконавчого комітету міської ради від 12.07.2022 № 513</t>
  </si>
  <si>
    <t>рішення міської ради від 16.12.2016 № 2-1497 (зі змінами)</t>
  </si>
  <si>
    <t>Міська цільова програма сприяння діяльності органів самоорганізації населення міста Черкаси на 2017-2021</t>
  </si>
  <si>
    <t xml:space="preserve">Міська програма здійснення заходів, що не могли бути передбачені під час складання бюджету та порядок надання матеріальної допомоги громадянам міста </t>
  </si>
  <si>
    <t>Міська програма організації і сприяння приписці громадян до призовних дільниць, їх призову на військову службу та здійснення заходів, пов'язаних з мобілізацією у 2022-2024 роках</t>
  </si>
  <si>
    <t>рішення міської ради від 23.12.2021 № 16-1 (зі змінами)</t>
  </si>
  <si>
    <t>8230</t>
  </si>
  <si>
    <t>Програма забезпечення правопорядку в м. Черкаси на 2016-2020 роки</t>
  </si>
  <si>
    <t>рішення міської ради від 13.05.2016 № 2-579 (зі змінами)</t>
  </si>
  <si>
    <t>Міська програма взаємодії органів місцевого самоврядування зі ЗМІ шляхом висвітлення діяльності та розміщення соціальної реклами на 2020-2024 роки</t>
  </si>
  <si>
    <t>рішення міської ради від 20.02.2020 № 2-5686</t>
  </si>
  <si>
    <t>…</t>
  </si>
  <si>
    <t>73 Департамент економіки та розвитку ЧМР</t>
  </si>
  <si>
    <t>090501</t>
  </si>
  <si>
    <t>Міська Програма управління об’єктами власності Черкаської міської територіальної громади на 2022-2026 роки</t>
  </si>
  <si>
    <t>рішення міської ради від 23.12.2021 № 16-2</t>
  </si>
  <si>
    <t>Програма сприяння залученню інвестицій та розвитку підприємництва у м.Черкаси на 2022-2026 роки</t>
  </si>
  <si>
    <t>рішення міської ради від 09.12.2021 № 15-5</t>
  </si>
  <si>
    <t>Програма підвищення енергоефективності та зменшення споживання енергоресурсів у місті Черкасах</t>
  </si>
  <si>
    <t>Програма підвищення енергоефективності та зменшення споживання енергоресурсів у місті Черкасах на 2022-2026 роки</t>
  </si>
  <si>
    <t>рішення міської ради від 09.12.2021 № 15-15</t>
  </si>
  <si>
    <t>Програма розроблення стратегічного плану розвитку м. Черкаси до 2030 року на 2017-2021 роки</t>
  </si>
  <si>
    <t>рішення міської ради від 16.06.2017 № 2-2203 (зі змінами)</t>
  </si>
  <si>
    <t>Програма капіталізації комунальних підприємств Черкаської міської ради на період воєнного стану в Україні</t>
  </si>
  <si>
    <t>рішення виконавчого комітету Черкаської міської ради від 04.11.2022 № 976</t>
  </si>
  <si>
    <t>рішення міської ради від 22.12.2022 № 34-30 (зі змінами)</t>
  </si>
  <si>
    <t>Програма забезпечення рятувальних заходів на водних об'єктах м. Черкаси комунальною установою "Черкаська міська комунальна аварійно-рятувальна служба" на 2021-2023 роки</t>
  </si>
  <si>
    <t>рішення міської ради від 01.10.2020 № 2-6379 (зі змінами)</t>
  </si>
  <si>
    <t>210110</t>
  </si>
  <si>
    <t>Заходи з організації рятування на водах </t>
  </si>
  <si>
    <t>Програма забезпечення рятувальних заходів на водних об’єктах м.Черкаси комунальною установою «Черкаська міська комунальна аварійно-рятувальна  служба» 2024-2026 роки</t>
  </si>
  <si>
    <t>рішення міської ради від 22.12.2023 № 51-5</t>
  </si>
  <si>
    <t>Програма підтримки Збройних Сил України на 2024-2025 роки</t>
  </si>
  <si>
    <t>рішення міської ради від 22.12.2023 № 51-39</t>
  </si>
  <si>
    <t>Програма забезпечення виконання судових рішень на 2024-2025 роки</t>
  </si>
  <si>
    <t>рішення міської ради від 28.03.2024 № 55-9</t>
  </si>
  <si>
    <t>Програма фінансування заходів, пов'язаних із нагородженням міськими відзнаками громадян, трудових колективів на 2021-2025 роки</t>
  </si>
  <si>
    <t>рішення міської ради від 24.12.2020 № 2-47 (зі змінами)</t>
  </si>
  <si>
    <t>Програма управління боргом на 2019-2027 роки</t>
  </si>
  <si>
    <t>рішення міської ради від 05.03.2019 № 2-4030</t>
  </si>
  <si>
    <t>рішення міської ради від 05.03.2019 № 2-4031</t>
  </si>
  <si>
    <t>Обслуговування місцевого боргу</t>
  </si>
  <si>
    <t>рішення міської ради від 05.03.2019 № 2-4032</t>
  </si>
  <si>
    <t>3718881</t>
  </si>
  <si>
    <t xml:space="preserve">Програми здійснення додаткових заходів із мобілізації коштів до міського бюджету та поліпшення умов надання адміністративних та інших послуг громаді міста на 2019-2021 роки </t>
  </si>
  <si>
    <t>рішення міської ради від 05.03.2019 № 2-4029</t>
  </si>
  <si>
    <t>Керівник секретаріату (секретар)_________________ради</t>
  </si>
  <si>
    <t>Додаток 8
до рішення міської ради
"Про бюджет Черкаської міської територіальної громади на 2025 рік (2357600000)"
від _______________ № __________</t>
  </si>
  <si>
    <t>Перелік виконавчих органів міської ради, на які покладено контроль за справлянням надходжень до бюджету міської територіальної громади в 2025 році</t>
  </si>
  <si>
    <t>Найменування доходів
згідно із бюджетною класифікацією</t>
  </si>
  <si>
    <t>Назва 
виконавчого органу міської ради</t>
  </si>
  <si>
    <t>18010600, 18010900</t>
  </si>
  <si>
    <r>
      <t xml:space="preserve">Орендна плата за землю з фізичних осіб
Орендна плата за землю з юридичних осіб </t>
    </r>
    <r>
      <rPr>
        <b/>
        <sz val="14"/>
        <color indexed="8"/>
        <rFont val="Times New Roman Cyr"/>
        <charset val="204"/>
      </rPr>
      <t xml:space="preserve"> 
</t>
    </r>
    <r>
      <rPr>
        <sz val="14"/>
        <color indexed="8"/>
        <rFont val="Times New Roman CYR"/>
        <family val="1"/>
        <charset val="204"/>
      </rPr>
      <t xml:space="preserve"> (згідно ст. 288 Податкового кодексу України контроль за сплатою орендної плати за землю покладено на податкові органи, але для збільшення надходжень до бюджету структурні підрозділи Черкаської міської ради проводять додаткові заходи)</t>
    </r>
  </si>
  <si>
    <r>
      <t xml:space="preserve">Департамент архітектури та містобудування  Черкаської міської ради </t>
    </r>
    <r>
      <rPr>
        <i/>
        <sz val="14"/>
        <color indexed="8"/>
        <rFont val="Times New Roman CYR"/>
        <charset val="204"/>
      </rPr>
      <t xml:space="preserve"> (в частині укладання договорів, внесення змін до них,  інше) </t>
    </r>
  </si>
  <si>
    <t>Департамент фінансової політики Черкаської міської ради оперативний контроль за станом  розрахунків  з бюджетом за укладеними договорами</t>
  </si>
  <si>
    <t>21050000</t>
  </si>
  <si>
    <t>Департамент фінансової політики Черкаської міської ради</t>
  </si>
  <si>
    <t>Адміністративна комісія при виконавчому комітеті Черкаської міської ради</t>
  </si>
  <si>
    <t xml:space="preserve">Управління інспектування Черкаської міської ради  </t>
  </si>
  <si>
    <t>Управління державного архітектурно-будівельного контролю Черкаської міської ради</t>
  </si>
  <si>
    <t>Департамент фінансової політики Черкаської міської ради в частині підтвердження  фактичних надходжень до бюджету</t>
  </si>
  <si>
    <t>Департамент економіки та розвитку Черкаської міської ради</t>
  </si>
  <si>
    <t>Головні розпорядники коштів щодо нерухомого майна і споруд, яке передане їм до сфери управління</t>
  </si>
  <si>
    <t>22010300, 22012600, 22012900</t>
  </si>
  <si>
    <t>Адміністративний збір за проведення державної реєстрації юридичних осіб та фізичних осіб – підприємців та громадських формувань; 
Адміністративний збір за державну реєстрацію речових прав на нерухоме майно та їх обтяжень;  
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t>
  </si>
  <si>
    <t>Департамент управління справами та юридичного забезпечення Черкаської міської ради</t>
  </si>
  <si>
    <t>22080400</t>
  </si>
  <si>
    <t>Надходження від орендної плати за користування цілісним майновим комплексом та іншим майном, що перебуває в комунальній власності</t>
  </si>
  <si>
    <t xml:space="preserve">22090100
22090200
</t>
  </si>
  <si>
    <t>Державне мито, що сплачується за місцем розгляду та оформлення документів, у тому числі за оформлення документів на спадщину і дарування;  
Державне мито, не віднесене до інших категорій</t>
  </si>
  <si>
    <r>
      <t>Департамент управління справами та юридичного забезпечення Черкаської міської ради</t>
    </r>
    <r>
      <rPr>
        <i/>
        <sz val="14"/>
        <color indexed="8"/>
        <rFont val="Times New Roman CYR"/>
        <charset val="204"/>
      </rPr>
      <t xml:space="preserve"> (в межах визначених повноважень)</t>
    </r>
    <r>
      <rPr>
        <sz val="14"/>
        <color indexed="8"/>
        <rFont val="Times New Roman CYR"/>
        <family val="1"/>
        <charset val="204"/>
      </rPr>
      <t xml:space="preserve">
Департамент «Центр надання адміністративних послуг» Черкаської міської ради </t>
    </r>
    <r>
      <rPr>
        <i/>
        <sz val="14"/>
        <color indexed="8"/>
        <rFont val="Times New Roman CYR"/>
        <charset val="204"/>
      </rPr>
      <t>(в межах визначених повноважень)</t>
    </r>
  </si>
  <si>
    <r>
      <t xml:space="preserve">Департамент «Центр надання адміністративних послуг» Черкаської міської ради </t>
    </r>
    <r>
      <rPr>
        <i/>
        <sz val="14"/>
        <color rgb="FF000000"/>
        <rFont val="Times New Roman"/>
        <family val="1"/>
        <charset val="204"/>
      </rPr>
      <t>(в межах визначених повноважень)</t>
    </r>
  </si>
  <si>
    <t>Плата за право тимчасового користування місцями на розміщення зовнішньої реклами</t>
  </si>
  <si>
    <r>
      <t xml:space="preserve">Департамент архітектури та містобудування  Черкаської міської ради  </t>
    </r>
    <r>
      <rPr>
        <i/>
        <sz val="14"/>
        <color indexed="8"/>
        <rFont val="Times New Roman CYR"/>
        <charset val="204"/>
      </rPr>
      <t xml:space="preserve">(в частині укладання договорів, внесення змін до них,  інше) </t>
    </r>
  </si>
  <si>
    <t>Плата за пайову участь в утриманні об’єктів благоустрою</t>
  </si>
  <si>
    <t>24170000</t>
  </si>
  <si>
    <t xml:space="preserve">Департамент економіки та розвитку Черкаської міської ради </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</si>
  <si>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</si>
  <si>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 xml:space="preserve">Департамент архітектури та містобудування  Черкаської міської ради  </t>
  </si>
  <si>
    <t>Департамент фінансової політики Черкаської міської ради:
 -  оперативний контроль за станом  розрахунків  з бюджетом за укладеними договорами;
 -  в частині підтвердження  фактичних надходжень до бюджету по актах про визначення збитків та надходженнях по позовах, поданих департаментом архітектури та містобудування в частині  безпідставно збережених коштів за користування земельною ділянкою.</t>
  </si>
  <si>
    <t xml:space="preserve">Департамент фінансової політики Черкаської міської ради </t>
  </si>
  <si>
    <t>31030000</t>
  </si>
  <si>
    <t>Кошти від відчуження майна, що перебуває в комунальній власності</t>
  </si>
  <si>
    <t>33010000</t>
  </si>
  <si>
    <t>50110000</t>
  </si>
  <si>
    <t xml:space="preserve">Цільові фонди, утворені органами місцевого самоврядування </t>
  </si>
  <si>
    <t>в тому числі:</t>
  </si>
  <si>
    <t>- цільовий фонд містобудівного розвитку</t>
  </si>
  <si>
    <t>Департамент архітектури, містобудування та кадастру міської ради</t>
  </si>
  <si>
    <t>- цільовий фонд охорони культурної спадщини</t>
  </si>
  <si>
    <t>- цільовий фонд "Соціально-економічний розвиток міста"</t>
  </si>
  <si>
    <t>Департамент економіки і інвестицій міської ради</t>
  </si>
  <si>
    <t>* по надходженнях коштів за договорами про використання встановлених тимчасових конструкцій для господарських потреб (гаражів)</t>
  </si>
  <si>
    <t>Департамент архітектури, містобудування та кадастру міської ради, МКП "Архітектурно-будівельний сервіс"</t>
  </si>
  <si>
    <t>*по надходженнях коштів від списання основних засобів, які належать до комунальної власності територіальної громади міста та передані на баланс підприємств-постачальників житлово-комунальних послуг, електроенергії та газу безоплатно для експлуатації</t>
  </si>
  <si>
    <t>Департамент міського господарства міської ради</t>
  </si>
  <si>
    <t xml:space="preserve"> - цільовий фонд коштів соціальної і матеріальної підтримки громадян м. Вінниці  "Соціальний захист"</t>
  </si>
  <si>
    <t>Виконком міської ради</t>
  </si>
  <si>
    <t>- цільовий фонд міської ради на відновлення фасадів будинків, капітальний ремонт житлового фонду, інших будинків, які є власністю територіальної громади міста,  та благоустрій міста</t>
  </si>
  <si>
    <t xml:space="preserve"> - цільовий фонд міської ради для виготовлення технічної документації, оцінки і правоустановчих документів на об'єкти  комунальної  власності  </t>
  </si>
  <si>
    <t>Департамент комунальних ресурсів міської ради</t>
  </si>
  <si>
    <t xml:space="preserve"> - цільовий фонд міської ради з благоустрою міста</t>
  </si>
  <si>
    <t>Департамент комунального господарства та благоустрою міської ради</t>
  </si>
  <si>
    <t xml:space="preserve"> - цільовий фонд міської ради на реконструкцію інженерного обладнання будинків та інших робіт, пов'язаних з відключенням від систем центрального опалення та гарячого водопостачання  (ЦО та ГВП)</t>
  </si>
  <si>
    <t>Департамент житлового господарства міської ради</t>
  </si>
  <si>
    <t>Департамент дорожньо-транспортної інфраструктури та екології Черкаської міської ради</t>
  </si>
  <si>
    <t>Департамент житлово-комунального комплексу Черкаської міської ради</t>
  </si>
  <si>
    <t>8842</t>
  </si>
  <si>
    <t>Повернення довгострокових кредитів, наданих громадянам на будівництво/реконструкцію/придбання житла</t>
  </si>
  <si>
    <t>Департамент освіти  та гуманітарної політики Черкаської міської ради</t>
  </si>
  <si>
    <t xml:space="preserve"> У випадку необхідності здійснення повернення (перерахування) помилково або надміру зарахованих до бюджету коштів по зазначених платежах (що не контролюються податковими органами),  подання в електронній формі готує структурний підрозділ, який укладає договори, накладає штрафи, надає адміністративні послуги, здійснює державну реєстрацію, оформлення інших документів або здійснює інші правочини, згідно  наказу Міністерства фінансів України №787 від 03.09.2013 «Про затвердження Порядку повернення (перерахування) коштів, помилково або надміру зарахованих до державного та місцевих бюджетів» (із змінами).</t>
  </si>
  <si>
    <t xml:space="preserve">Додаток 9
до рішення міської ради
"Про бюджет Черкаської міської територіальної громади на 2025 рік (2357600000)"
від ______________ № _______    </t>
  </si>
  <si>
    <t>ПЕРЕЛІК</t>
  </si>
  <si>
    <t xml:space="preserve"> природоохоронних заходів бюджету міської територіальної громади на 2025 рік</t>
  </si>
  <si>
    <t>№ з/п</t>
  </si>
  <si>
    <t>Назва заходів</t>
  </si>
  <si>
    <t>УСЬОГО видатків на природоохоронні заходи</t>
  </si>
  <si>
    <t>в тому числі за рахунок:</t>
  </si>
  <si>
    <t>загального фонду</t>
  </si>
  <si>
    <t>спеціального фонду (бюджету розвитку)</t>
  </si>
  <si>
    <t>цільового фонду охорони навколишнього природного середовища</t>
  </si>
  <si>
    <t>цільового фонду охорони та відтворення зелених насаджень м. Черкаси</t>
  </si>
  <si>
    <t>Головний розпорядок коштів -  департамент дорожньо-транспортної інфраструктури та екології ЧМР</t>
  </si>
  <si>
    <t>Проведення аналітичного контролю за станом забруднення атмосферного повітря</t>
  </si>
  <si>
    <t xml:space="preserve">Проведення робіт по боротьбі з омелою </t>
  </si>
  <si>
    <t>Проведення заходів по боротьбі зі шкідниками на зелених насадженнях</t>
  </si>
  <si>
    <t>Утилізація та збір небезпечних відходів</t>
  </si>
  <si>
    <t>Виготовлення проектів землеустрою щодо встановлення меж об'єктів природно-заповідного фонду міста Черкаси</t>
  </si>
  <si>
    <t xml:space="preserve">Озеленення та догляд за зеленими насадженнями </t>
  </si>
  <si>
    <t xml:space="preserve">Проведення заходів по боротьбі з об'єктами рослинного карантину  </t>
  </si>
  <si>
    <t>Ліквідація наслідків буреломів, сніговалів, вітровалів</t>
  </si>
  <si>
    <t>Збереження природно-заповідного фонду (утримання об'єктів природно-заповідного фонду)</t>
  </si>
  <si>
    <t>Придбання машин для збору та транспортування відходів (капітальні трансфери КП "Екологія")</t>
  </si>
  <si>
    <t>Озеленення, облаштування клумб,  декоративних композицій та газонів</t>
  </si>
  <si>
    <t>Утримання (догляд) зелених насаджень (проведення заходів по боротьбі з карантинними бур'янами у місті Черкаси)</t>
  </si>
  <si>
    <t>Утримання (догляд) зелених насаджень, в т.ч. газонів на вулицях міста</t>
  </si>
  <si>
    <t>Збір, переробка та утилізація відходів (фінансова підтримка КП "Екологія")</t>
  </si>
  <si>
    <t>Компенсаційні висадки зелених насаджень (озеленення) на території об'єктів природно-заповідного фонду</t>
  </si>
  <si>
    <t>ВСЬОГО ВИДАТКІВ</t>
  </si>
  <si>
    <t>КП "Екологія"</t>
  </si>
  <si>
    <t>Залишок призначень до плану 6-ти місяців</t>
  </si>
  <si>
    <t xml:space="preserve">Профінансовано </t>
  </si>
  <si>
    <t>січень</t>
  </si>
  <si>
    <t>лютий</t>
  </si>
  <si>
    <t xml:space="preserve">Оплата праці </t>
  </si>
  <si>
    <t>Предмети, матеріали, обладнання та інвентар</t>
  </si>
  <si>
    <t>Оплата електроенергії</t>
  </si>
  <si>
    <t>Додаток 10
до рішення міської ради
"Про бюджет Черкаської міської територіальної громади на 2025 рік (2357600000)"
від _______________ № ___________</t>
  </si>
  <si>
    <t>РОЗПОДІЛ ВИДАТКІВ НА ЖИТЛОВО-КОМУНАЛЬНЕ ГОСПОДАРСТВО У 2025 РОЦІ</t>
  </si>
  <si>
    <t>№ п/п</t>
  </si>
  <si>
    <t>НАПРЯМКИ ВИДАТКІВ</t>
  </si>
  <si>
    <t>Разом видатків на поточний рік</t>
  </si>
  <si>
    <t>бюджет розвитку</t>
  </si>
  <si>
    <t xml:space="preserve">ДЕПАРТАМЕНТ ЖИТЛОВО-КОМУНАЛЬНОГО КОМПЛЕКСУ </t>
  </si>
  <si>
    <t>1.1</t>
  </si>
  <si>
    <t>Капітальний ремонт ліфтів у житлових будинках (крім ОСББ)</t>
  </si>
  <si>
    <t>1.2</t>
  </si>
  <si>
    <t>Капітальний ремонт, реконструкція житлового фонду ОСББ</t>
  </si>
  <si>
    <t>Капітальний ремонт, реконструкція житлового фонду (крім ОСББ)</t>
  </si>
  <si>
    <t>Закупівля матеріалів для ліквідації аварійної ситуації (фінансова підтримка КП "Черкасиводоканал")</t>
  </si>
  <si>
    <t>Фінансова підтримка КП «Черкасиводоканал» на відшкодування поточних витрат, які виникають в процесі господарської діяльності та входять до собівартості реалізованих підприємством послуг, з урахуванням нарахованих зобов’язань по сплаті основної суми субкредиту</t>
  </si>
  <si>
    <t>Капітальний ремонт внутрішньоквартальної мережі водовідведення до будівлі по вул. Олексія Панченка, 15/1, м. Черкаси (капітальні трансферти КП "Черкасиводоканал")</t>
  </si>
  <si>
    <t>1.3</t>
  </si>
  <si>
    <t xml:space="preserve">Капітальний ремонт ліфтів у житлових будинках ОСББ, асоціацій ОСББ </t>
  </si>
  <si>
    <t>інвентаризація зелених насаджень</t>
  </si>
  <si>
    <t>1.2.1</t>
  </si>
  <si>
    <t>Догляд за малими архітектурними формами та створення нових, в т.ч.:</t>
  </si>
  <si>
    <t xml:space="preserve">обслуговування міських фонтанів </t>
  </si>
  <si>
    <t>оплата водопостачання та водовідведення фонтанів</t>
  </si>
  <si>
    <t>оплата електроенергії фонтанів</t>
  </si>
  <si>
    <t>1.2.2</t>
  </si>
  <si>
    <t>Утримання питних фонтанчиків,в т.ч.:</t>
  </si>
  <si>
    <t>утримання питних фонтанчиків</t>
  </si>
  <si>
    <t>оплата водопостачання та водовідведення питних фонтанчиків</t>
  </si>
  <si>
    <t>1.2.3</t>
  </si>
  <si>
    <t xml:space="preserve">Організація та утримання місць поховань та меморіальних комплексів, в т.ч.:  </t>
  </si>
  <si>
    <t>утримання  та поточний ремонт міських кладовищ (фінансова підтримка КП "Комбінат комунальних підприємств")</t>
  </si>
  <si>
    <t>утримання  та поточний ремонт міських кладовищ</t>
  </si>
  <si>
    <t>транспортування померлих осіб на судмедекспертизу та поховання одиноких і безрідних померлих осіб (фінансова підтримка КП "Комбінат комунальних підприємств")</t>
  </si>
  <si>
    <t>поточний ремонт меморіального комплексу "Пагорб Слави" (фінансова підтримка КП "Комбінат комунальних підприємств")</t>
  </si>
  <si>
    <r>
      <t xml:space="preserve">утримання </t>
    </r>
    <r>
      <rPr>
        <sz val="10"/>
        <rFont val="Times New Roman"/>
        <family val="1"/>
        <charset val="204"/>
      </rPr>
      <t>Пагорбу  Слави</t>
    </r>
    <r>
      <rPr>
        <sz val="10"/>
        <color indexed="8"/>
        <rFont val="Times New Roman"/>
        <family val="1"/>
        <charset val="204"/>
      </rPr>
      <t xml:space="preserve"> та меморіального комплексу пам'яті учасників АТО (фінансова підтримка КП "Комбінат комунальних підприємств")</t>
    </r>
  </si>
  <si>
    <t>оплата водопостачання кладовищ</t>
  </si>
  <si>
    <t>оплата електроенергії кладовищ</t>
  </si>
  <si>
    <t>знесення аварійних, сухостійних, фаутних дерев та тих, що досягли вікової межі на території кладовищ та меморіальних комплексів</t>
  </si>
  <si>
    <t>утримання зелених насаджень на території кладовищ та меморіальних комплексів</t>
  </si>
  <si>
    <t>Утримання та поточний ремонт об'єктів благоустрою та пляжів (фінансова підтримка КП "Благоустрій</t>
  </si>
  <si>
    <t>1.2.4</t>
  </si>
  <si>
    <t>Утримання необлаштованих територій (фінансова підтримка КП "Благоустрій")</t>
  </si>
  <si>
    <t>1.2.5</t>
  </si>
  <si>
    <t>Утримання та поточний ремонт дитячих та/або спортивних ігрових майданчиків, обладнання дитячих та/або спортивних ігрових майданчиків (фінансова підтримка КП "Благоустрій")</t>
  </si>
  <si>
    <t>Обслуговування водяних завіс</t>
  </si>
  <si>
    <t xml:space="preserve"> обслуговування водяних завіс</t>
  </si>
  <si>
    <t>оплата водопостачання водяних завіс</t>
  </si>
  <si>
    <t>1.4.10</t>
  </si>
  <si>
    <t>Обслуговування водяних завіс, в т.ч.:</t>
  </si>
  <si>
    <t>обслуговування водяних завіс</t>
  </si>
  <si>
    <t>Дослідження питної води з нецентралізованих джерел водопостачання</t>
  </si>
  <si>
    <t>1.6</t>
  </si>
  <si>
    <t>ДЕПАРТАМЕНТ ДОРОЖНЬО-ТРАНСПОРТНОЇ ІНФРАСТРУКТУРИ ТА ЕКОЛОГІЇ</t>
  </si>
  <si>
    <t>2.1</t>
  </si>
  <si>
    <t>2.1.1</t>
  </si>
  <si>
    <t>Організація роботи інженерного облаштування вулично-дорожньої мережі, в т.ч.:</t>
  </si>
  <si>
    <t>утримання та поточний ремонт мереж зовнішнього освітлення міста (фінансова підтримка КП "Міськсвітло")</t>
  </si>
  <si>
    <t>послуги пульта управління зовнішнім освітленням міста (фінансова підтримка КП "Міськсвітло")</t>
  </si>
  <si>
    <t>нагляд за станом електромереж та устаткування (фінансова підтримка КП "Міськсвітло")</t>
  </si>
  <si>
    <t>оплата електроенергії на освітлення міста</t>
  </si>
  <si>
    <t xml:space="preserve">оплата електроенергїї світлофорних об'єктів </t>
  </si>
  <si>
    <t>2.1.2</t>
  </si>
  <si>
    <t>Утримання мереж зливової каналізації, в т.ч.:</t>
  </si>
  <si>
    <t>оплата водовідведення від накопичувальних басейнів</t>
  </si>
  <si>
    <t>оплата електроенергії насосних станцій</t>
  </si>
  <si>
    <t>2.1.3</t>
  </si>
  <si>
    <t>Утримання та розвиток парків та скверів міста, в т.ч.:</t>
  </si>
  <si>
    <t xml:space="preserve">утримання зелених насаджень та зелених зон, прибирання доріжок та алей (фінансова підтримка КП "Дирекція парків") </t>
  </si>
  <si>
    <t>утримання та оновлення майна парків та скверів (фінансова підтримка КП "Дирекція парків")</t>
  </si>
  <si>
    <t>2.1.4</t>
  </si>
  <si>
    <t>Придбання тав становлення лавок з урнами</t>
  </si>
  <si>
    <t>2.1.5</t>
  </si>
  <si>
    <t>Забезпечення належного утримання  та  відновлення зелених насаджень, в т.ч.:</t>
  </si>
  <si>
    <t>комплексне косіння зелених зон</t>
  </si>
  <si>
    <t>знесення аварійних та сухостійних дерев, компенсаційні висадки. Формувальна, санітарна та омолоджувальна обрізка дерев, видалення пеньків</t>
  </si>
  <si>
    <t>озеленення, облаштування клумб, декоративних композицій та газонів</t>
  </si>
  <si>
    <t>утримання (догляд) зелених насаджень, в т.ч. газонів на вулицях міста</t>
  </si>
  <si>
    <t>утримання (догляд) зелених насаджень (проведення заходів по боротьбі з карантинними бур'янами у місті Черкаси)</t>
  </si>
  <si>
    <t>2.1.6</t>
  </si>
  <si>
    <t>Запобігання утворенню та управління відходами міста Черкаси, в т.ч.:</t>
  </si>
  <si>
    <t xml:space="preserve">розробка плану управління відходами міста Черкаси </t>
  </si>
  <si>
    <t>утримання в належному санітарному стані територій, прилеглих до контейнерних майданчиків (фінансова підтримка КП "Черкаська служба чистоти")</t>
  </si>
  <si>
    <t>поточний ремонт контейнерних майданчиків (фінансова підтримка КП "Черкаська служба чистоти")</t>
  </si>
  <si>
    <t xml:space="preserve">придбання контейнерів (фінансова підтримка КП "Черкаська служба чистоти") </t>
  </si>
  <si>
    <t>2.2</t>
  </si>
  <si>
    <t>Поводження з безпритульними тваринами, в т.ч.:</t>
  </si>
  <si>
    <t>утримання та лікування безпритульних тварин, що знаходяться у комунальних притулках (харчування, прибирання, лікування) (фінансова підтримка КП "Черкаська служба чистоти")</t>
  </si>
  <si>
    <t xml:space="preserve">Директор департаменту фінансової політики </t>
  </si>
  <si>
    <t xml:space="preserve">Додаток 11
до рішення міської ради
"Про бюджет Черкаської міської територіальної громади на 2025 рік (2357600000)"
від ______________ № _______    </t>
  </si>
  <si>
    <t>Розподіл  видатків</t>
  </si>
  <si>
    <t xml:space="preserve"> на проведення робіт, пов'язаних із будівництвом, реконструкцією, ремонтом і  утриманням автомобільних доріг та дорожньої інфраструктури у 2025 році</t>
  </si>
  <si>
    <t>Назва напрямків</t>
  </si>
  <si>
    <t>Разом  видатків на поточний рік</t>
  </si>
  <si>
    <t>ГОЛОВНИЙ РОЗПОРЯДНИК КОШТІВ -  ДЕПАРТАМЕНТ ДОРОЖНЬО-ТРАНСПОРТНОЇ ІНФРАСТРУКТУРИ ТА ЕКОЛОГІЇ</t>
  </si>
  <si>
    <t xml:space="preserve">Поточні видатки </t>
  </si>
  <si>
    <t>Поточний ремонт дорожнього покриття</t>
  </si>
  <si>
    <t xml:space="preserve">Поточний ремонт та утримання мереж зливової каналізації </t>
  </si>
  <si>
    <t>Поточний ремонт та утримання технічних засобів регулювання дорожнього руху</t>
  </si>
  <si>
    <t>Інші заходи із розвитку та збереження вулично-дорожньої мережі міста (зимове та літнє утримання доріг)</t>
  </si>
  <si>
    <t>Фінансова підтримка КП "ЧЕЛУАШ" на проведення термінового (позапланового) поточного ремонту та утримання об'єктів вулично-дорожньої мережі, в т.ч:</t>
  </si>
  <si>
    <t>Поточний ремонт пішохідних тротуарів</t>
  </si>
  <si>
    <t>Поточний ремонт внутрішньоквартальних проїздів</t>
  </si>
  <si>
    <t>Поточний ремонт та утримання мереж зливової каналізації</t>
  </si>
  <si>
    <t>Нанесення розмітки проїзної частини</t>
  </si>
  <si>
    <t>Інші заходи із розвитку та збереження вулично-дорожньої мережі міста (зимове та літнє утримання доріг, утримання зелених насаджень, ремонт та утримання штучних споруд, малих архітектурних форм, зупинок громадського транспорту, інвентаризація та паспортизація дорожнього господарства)</t>
  </si>
  <si>
    <t>Капітальні видатки</t>
  </si>
  <si>
    <t>Капітальний ремонт вул. Хрещатик (тротуар, непарна сторона, від вул. Святотроїцька до вул. О. Дашкевича) в м. Черкаси</t>
  </si>
  <si>
    <t xml:space="preserve">Капітальний ремонт пішохідної алеї вздовж будівель № 31-35 по вул. Байди Вишневецького (алея ліхтарів-музикантів) в м. Черкаси </t>
  </si>
  <si>
    <t>Капітальний ремонт вул. Антона Моспана (паркувальний майданчик від вул. 30 років Перемоги до вул. Зоологічна) в м.Черкаси</t>
  </si>
  <si>
    <t xml:space="preserve">Капітальний ремонт вулиці Героїв Холодного Яру (від вул. Східна до проспекту Хіміків) в м. Черкаси </t>
  </si>
  <si>
    <t>Капітальний ремонт вул. Гоголя (встановлення світлофору на перехресті з вул. О. Дашкевича) в м.Черкаси</t>
  </si>
  <si>
    <t>Капітальний ремонт шляхопроводу по вул. Дахнівська в м.Черкаси</t>
  </si>
  <si>
    <t>Капітальний ремонт шляхопроводу по вул. Лісова Просіка в м.Черкаси</t>
  </si>
  <si>
    <t>Капітальний ремонт шляхопроводу по проспекту Хіміків в м.Черкаси</t>
  </si>
  <si>
    <t xml:space="preserve">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t>
  </si>
  <si>
    <t>ГОЛОВНИЙ РОЗПОРЯДНИК КОШТІВ - ДЕПАРТАМЕНТ АРХІТЕКТУРИ ТА МІСТОБУДУВАННЯ</t>
  </si>
  <si>
    <t xml:space="preserve">Капітальний  ремонт внутрішньоквартального проїзду вул. Благовісна буд.330; буд. 332 </t>
  </si>
  <si>
    <t>Капітальний ремонт  внутрішньоквартального проїзду по вул. Г. Сагайдачного  від буд. 243 до  вул. Подолинського буд.24 м. Черкаси</t>
  </si>
  <si>
    <t>Капітальний ремонт внуштріньоквартального проїзду вул. Чехова 82, Нарбутівська 187 в м.Черкаси</t>
  </si>
  <si>
    <t>Капітальний ремонт вул.Пилипенка (тротуар парна сторона) від вул. Пастерівської до вул. М.Залізняка, м. Черкаси</t>
  </si>
  <si>
    <t>Капітальний ремонт бульв. Шевченка (тротуари від вул. Небесної Сотні до вул. Г.Сталінграда), м. Черкаси</t>
  </si>
  <si>
    <t>Капітальний ремонт вул. Благовісна від вул. В'ячеслава Чорновола до вул. Добровольського в м. Черкаси</t>
  </si>
  <si>
    <t xml:space="preserve">Капітальний ремонт вул. Сумгаїтська (від вул. Одеської до вул. 30-річчя Перемоги) в м. Черкаси </t>
  </si>
  <si>
    <t>Капітальний ремонт вул. Ю. Іллєнка від вул. Нарбутівська до вул. Нижня Горова  в м. Черкаси (виготовлення ПКД)</t>
  </si>
  <si>
    <t>Капітальний ремонт бульв. Шевченка від вул. Університетської до вул. Можайського м.Черкаси</t>
  </si>
  <si>
    <t>Реконструкція вул.Пастерівська (тротуар парна сторона) від вул.О.Маламужа до вул.Пилипенка м.Черкаси</t>
  </si>
  <si>
    <t>Реконструкція вул. Гагаріна від вул. С.Жужоми до вул. С. Смірнова м. Черкаси</t>
  </si>
  <si>
    <t>Реконструкція вул. Гагаріна від узвозу Остріжний до автостради Н-16 (виготовлення ПКД)</t>
  </si>
  <si>
    <t>Реконструкція вул. Героїв Дніпра  (від вул. Богдана Хмельницького до вул. Сержанта Смірнова), м. Черкаси</t>
  </si>
  <si>
    <t>Реконструкція вул. Героїв Дніпра  (від вул. Сержанта Жужоми до вул. Богдана Хмельницького), в м. Черкаси</t>
  </si>
  <si>
    <t>Реконструкція вул. Героїв Дніпра  (від вул. Сержанта Смірнова до вул. Козацька), в м. Черкаси</t>
  </si>
  <si>
    <t>Реконструкція вул. Добровольського від бул. Шевченка до вул. Сагайдачного м. Черкаси</t>
  </si>
  <si>
    <t>Реконструкція вул. Ільїна (від вул. Чорновола до вул. Пацаєва) (І черга)</t>
  </si>
  <si>
    <t>Реконструкція вул. Новопречистенська від вул. Г. Сагайдачного до вул. С. Амброса в м. Черкаси</t>
  </si>
  <si>
    <t>Реконструкція вул. Різдвяна від вул. Толстого до вул. Нарбутівська м. Черкаси</t>
  </si>
  <si>
    <t>Реконструкція вул. Сержанта Жужоми (від вул. Гагаріна до вул. Героїв Дніпра) в м.Черкаси</t>
  </si>
  <si>
    <t xml:space="preserve">Реконструкція вул. Сумгаїтської від межі міста до вул. Одеської </t>
  </si>
  <si>
    <t>Реконструкція вул.Чехова від вул. Нижня Горова до вул. Гетьмана Сагайдачного  м. Черкаси</t>
  </si>
  <si>
    <t>Реконструкція бул. Шевченка від вул. Лазарєва до вул. Б. Вишневецького м. Черкаси</t>
  </si>
  <si>
    <t>Реконструкція із застосуванням щебенево-мастичного асфальтобетону бульв. Шевченка (від вул. Г.Сталінграда до вул. Різдв'яна), м. Черкаси</t>
  </si>
  <si>
    <t xml:space="preserve">Реконструкція із застосуванням щебенево-мастичного асфальтобетону бульв. Шевченка (від вул. Лазарєва до вул. Небесної Сотні), м. Черкаси </t>
  </si>
  <si>
    <t>Реконструкція із застосуванням щебенево-мастичного асфальтобетону бульв. Шевченка (від вул. Різдв'яна до вул. Добровольського), м. Черкаси</t>
  </si>
  <si>
    <t xml:space="preserve">Будівництво вул. Квіткова від вул. Сумгаїтської  до вул. Хоменко </t>
  </si>
  <si>
    <t xml:space="preserve">Будівництво гідротехнічних та лінійних споруд набережної р. Дніпро від вул. Козацька до вул. Сержанта Жужоми м. Черкаси </t>
  </si>
  <si>
    <t>Додаток 2
до пояснювальної записки 
до рішення міської ради
від _________ № _______</t>
  </si>
  <si>
    <t xml:space="preserve">Основні показники загального фонду бюджету Черкаської міської територіальної громади 
на 2025 рік та за два попередні бюджетні періоди </t>
  </si>
  <si>
    <t>Доходи / витрати</t>
  </si>
  <si>
    <t>2023 рік</t>
  </si>
  <si>
    <t>2024 рік (уточнений план станом на 01.09.2024)</t>
  </si>
  <si>
    <t>Бюджет на 2025 рік</t>
  </si>
  <si>
    <t>ДОХОДИ</t>
  </si>
  <si>
    <t>Податкові надходження</t>
  </si>
  <si>
    <t>Рентна плата та плата за використання інших природних ресурсів</t>
  </si>
  <si>
    <t>податок на нерухоме майно, відмінне від земельної ділянки</t>
  </si>
  <si>
    <t>транспортний податок</t>
  </si>
  <si>
    <t>плата за землю</t>
  </si>
  <si>
    <t xml:space="preserve"> Туристичний збір</t>
  </si>
  <si>
    <t xml:space="preserve"> Єдиний податок</t>
  </si>
  <si>
    <r>
      <t>Всі інші доходи (</t>
    </r>
    <r>
      <rPr>
        <i/>
        <sz val="10"/>
        <rFont val="Times New Roman Cyr"/>
        <charset val="204"/>
      </rPr>
      <t>адмінштрафи, інші надходження)</t>
    </r>
  </si>
  <si>
    <t>Доходи від операцій з капіталом  </t>
  </si>
  <si>
    <t>ВИТРАТИ</t>
  </si>
  <si>
    <t>Соціальний захист і соціальне забезпечення</t>
  </si>
  <si>
    <t>Видатки  на природоохороні заходи</t>
  </si>
  <si>
    <t xml:space="preserve">Кредитування </t>
  </si>
  <si>
    <t>Міжбюджетні трансферти</t>
  </si>
  <si>
    <t>Разом видатків та кредитування</t>
  </si>
  <si>
    <t>УСЬОГО ВИТРАТ</t>
  </si>
  <si>
    <t>Додаток 3
до пояснювальної записки 
до рішення міської ради
від _________ № _______</t>
  </si>
  <si>
    <t>Показники бюджету Черкаської міської територіальної громади по загальному фонду на 2025 рік (без урахування трансфертів з інших бюджетів)</t>
  </si>
  <si>
    <t>тис.грн</t>
  </si>
  <si>
    <t>Витрати/Доходи</t>
  </si>
  <si>
    <t>Фактичні надходження/ Касові витрати 2023 рік</t>
  </si>
  <si>
    <t xml:space="preserve">Уточнений план на 2024 рік
(станом на 01.09.2024)
</t>
  </si>
  <si>
    <t>Фактичні надходження/ витрати станом на 01.09.2024</t>
  </si>
  <si>
    <t>Очікуваний обсяг власних надходжень/ Граничний обсяг витрат на 2025 рік</t>
  </si>
  <si>
    <t>Узгоджені пропозиції з головними розпорядниками коштів</t>
  </si>
  <si>
    <t>Уточнений граничний обсяг доходів/витрат на 2025 рік (з урахуванням узгоджених пропозицій)</t>
  </si>
  <si>
    <t>Потреба по бюджетних запитах</t>
  </si>
  <si>
    <t>Показники бюджету на 2025 рік</t>
  </si>
  <si>
    <t>НАДХОДЖЕННЯ</t>
  </si>
  <si>
    <t>Власні доходи</t>
  </si>
  <si>
    <t>РАЗОМ (доходи з урахуванням передачі коштів із спеціального фонду)</t>
  </si>
  <si>
    <t>ВИДАТКИ</t>
  </si>
  <si>
    <t>апарат управління (міські програми),в т.ч.:</t>
  </si>
  <si>
    <t>Програма впорядкування тимчасових споруд і зовнішньої реклами на території міста Черкаси на 2020-2022 роки (УІП)</t>
  </si>
  <si>
    <t>Міська Програма управління об'єктами комунальної власності територіальної громади м. Черкаси на 2022-2026 роки (ДЕтаР)</t>
  </si>
  <si>
    <t>Програма управління боргом на 2019-2027 роки (ДФП)</t>
  </si>
  <si>
    <t>інші міські програми, в т.ч.:</t>
  </si>
  <si>
    <t>Програма фінансування заходів, пов'язаних із нагородженням міськими відзнаками громадян, трудових колективів на 2021-2025 роки (ДУСЮЗ)</t>
  </si>
  <si>
    <t>Програма розвитку земельних відносин та використання і охорони  земель в м. Черкаси на 2019-2023 роки (ДАтаМ)</t>
  </si>
  <si>
    <t>Програма розвитку містобудівного кадастру міста Черкаси на 2020-2024 роки (ДАтаМ)</t>
  </si>
  <si>
    <t>Міська Програма здійснення заходів, що не могли бути передбачені під час складання бюджету та порядок надання матеріальної допомоги громадянам міста (УІП)</t>
  </si>
  <si>
    <t>Комплексна програма соціальної підтримки захисників державного суверінітету та незалежності України членів їх сімей м.Черкаси на 2022-2024 роки</t>
  </si>
  <si>
    <t xml:space="preserve">Міська програма стимулювання педагогічних працівників закладів дошкільної освіти м. Черкаси та дошкільного підрозділу Черкаського навчально-виховного об'єднання "Дошкільний навчальний заклад - загальноосвітня школа І-ІІ ступенів № 36" ім. Героїв-прикордонників Черкаської міської ради Черкаської області на 2022-2023 роки </t>
  </si>
  <si>
    <t>Програма організації харчування у закладах загальної середньої освіти комунальної власності міста Черкаси на 2022-2024 роки</t>
  </si>
  <si>
    <t>Міська програма забезпечення проведення профілактичних медичних оглядів працівників установ та закладів освіти, культури, фізичної культури і спорту, закладів роботи з молоддю, підпорядкованих департаменту освіти та гуманітарної політики ЧМР на 2023-2027 роки</t>
  </si>
  <si>
    <t>Програма розвитку закладів дошкільної освіти міста Черкаси на 2022-2026 роки</t>
  </si>
  <si>
    <t>Програма розвитку закладів загальної середньої освіти міста на 2022-2027 роки</t>
  </si>
  <si>
    <t>Програма розвитку закладів позашкільної освіти міста Черкаси на 2022-2026 роки</t>
  </si>
  <si>
    <t xml:space="preserve">Міська програма фінансової підтримки комунальних некомерційних підприємств (закладів охорони здоров’я) Черкаської міської ради на 2021-2023 роки </t>
  </si>
  <si>
    <t xml:space="preserve">Міська програма надання медичних послуг жителям міста Черкаси понад обсяг, передбачений програмою державних гарантій медичного обслуговування населення, на 2021-2023 роки </t>
  </si>
  <si>
    <t>Міська програма організації і сприяння приписці громадян до призовних дільниць та їх призову на строкову й військову службу у 2022-2024 роках</t>
  </si>
  <si>
    <t>Міська програма соціального захисту окремих категорій громадян - мешканців м. Черкаси, які мають право на пільги відповідно до законодавства</t>
  </si>
  <si>
    <t>Міська цільова комплексна програма національно-патріотичного виховання дітей та молоді на 2019-2022 роки</t>
  </si>
  <si>
    <t>Міська соціальна програма "Турбота" на період з 2018 до 2022</t>
  </si>
  <si>
    <t>Міська програма проведення культурно-просвітницьких заходів для осіб похилого віку, слухачів «Університету ІІІ віку» на 2020-2024</t>
  </si>
  <si>
    <t>Комплексна програма соціальної підтримки захисників державного суверенітету та незалежності України і членів їх сімей – жителів м. Черкаси на 2022-2024 роки</t>
  </si>
  <si>
    <t>Міська програма виділення грантів у галузі культури м.Черкаси на 2018-2023 роки</t>
  </si>
  <si>
    <t>Фізкультура і спорт</t>
  </si>
  <si>
    <t>Міська програма забезпечення проведення профілактичних медичних оглядів працівників установ та закладів освіти, культури, фізичної культури і спорту, закладів роботи з молоддю, підпорядкованих департаменту освіти та гуманітарної політики ЧМР на 2022-2027 роки</t>
  </si>
  <si>
    <r>
      <t>Програма розвитку і утримання житлово-комунального господарства міста Черкаси на 2016-2021 роки (</t>
    </r>
    <r>
      <rPr>
        <i/>
        <sz val="14"/>
        <rFont val="Times New Roman"/>
        <family val="1"/>
        <charset val="204"/>
      </rPr>
      <t>на 2022 рік Програма не затверджена</t>
    </r>
    <r>
      <rPr>
        <sz val="14"/>
        <rFont val="Times New Roman"/>
        <family val="1"/>
        <charset val="204"/>
      </rPr>
      <t>)</t>
    </r>
  </si>
  <si>
    <t>Міська програма пільгового житлового кредитування учасників антитерористичної операції/ операції об’єднаних сил і бійців добровольців, які брали участь у захисті територіальної цілісності та державного суверенітету на Сході України та членів їх сімей в м. Черкаси на 2021-2025 роки</t>
  </si>
  <si>
    <t>Програма молодіжного житлового кредитування в м. Черкаси на 2018-2022 роки</t>
  </si>
  <si>
    <t>в .ч. різниця в тарифах</t>
  </si>
  <si>
    <t>Програма Екологія 2021-2026</t>
  </si>
  <si>
    <t>Програма боротьби з карантинними бур'янами у м. Черкаси на 2021-2026 роки</t>
  </si>
  <si>
    <t>Програма підтримки об'єднань співвласників багатоквартирних будинків (ОСББ, асоціацій ОСББ) у м. Черкаси "Формування відповідального власника житла" на 2021-2023 роки</t>
  </si>
  <si>
    <t>Міська програма здійснення заходів, що не могли бути передбачені під час складання бюджету та порядок надання матеріальної допомоги громадянам міста</t>
  </si>
  <si>
    <t>Програма розвитку дизайну міського середовища та зовнішньої реклами в м.Черкаси на 2022-2024 роки</t>
  </si>
  <si>
    <t>Програма забезпечення техногенної та пожежної безпеки на території м. Черкаси, захисту населення від надзвичайних ситуацій техногенного, природного, соціального, воєнного характеру на 2019-2022 роки</t>
  </si>
  <si>
    <t>Міська програма організації і сприяння приписці громадян до призовних дільниць та їх призову на строкову військову службу у 2022-2024 роках</t>
  </si>
  <si>
    <t>Міська Програма промоції м.Черкаси на 2021-2025 роки</t>
  </si>
  <si>
    <t>Субвенції іншим бюджетам</t>
  </si>
  <si>
    <t>Реверсна дотація (вилучення)</t>
  </si>
  <si>
    <t>ВИДАТКИ, ВСЬОГО:</t>
  </si>
  <si>
    <t xml:space="preserve">Кошти,що передаються із загального фонду бюджету до бюджету розвитку (спеціального фонду) </t>
  </si>
  <si>
    <t>РАЗОМ (видатки з урахуванням залучення до бюджету розвитку)</t>
  </si>
  <si>
    <t>* забезпеченння виконання гарантійних зобов'язань - 92 800,8 тис.грн;  з урахуванням додаткової потреби - 126 416,7 тис.грн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</si>
</sst>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
    <numFmt numFmtId="165" formatCode="0.0"/>
    <numFmt numFmtId="166" formatCode="0.0%"/>
    <numFmt numFmtId="167" formatCode="#,##0.0000"/>
    <numFmt numFmtId="168" formatCode="#,##0.000"/>
    <numFmt numFmtId="169" formatCode="#,##0.00000"/>
    <numFmt numFmtId="170" formatCode="0.0000"/>
    <numFmt numFmtId="171" formatCode="#,##0.00000000"/>
    <numFmt numFmtId="172" formatCode="#,##0.00;[Red]#,##0.00"/>
    <numFmt numFmtId="173" formatCode="0.000"/>
    <numFmt numFmtId="174" formatCode="#,##0.0000000000000000"/>
    <numFmt numFmtId="175" formatCode="#,##0.00\ _₽"/>
    <numFmt numFmtId="176" formatCode="#,##0.00\ _₴"/>
    <numFmt numFmtId="177" formatCode="_-* #,##0.00\ _г_р_н_._-;\-* #,##0.00\ _г_р_н_._-;_-* &quot;-&quot;??\ _г_р_н_._-;_-@_-"/>
  </numFmts>
  <fonts count="203" x14ac:knownFonts="1">
    <font>
      <sz val="10"/>
      <name val="Arial Cyr"/>
      <charset val="204"/>
    </font>
    <font>
      <sz val="11"/>
      <color theme="1"/>
      <name val="Calibri"/>
      <family val="2"/>
      <charset val="204"/>
      <scheme val="minor"/>
    </font>
    <font>
      <sz val="10"/>
      <name val="Arial Cyr"/>
      <charset val="204"/>
    </font>
    <font>
      <sz val="10"/>
      <name val="Arial Cyr"/>
      <family val="2"/>
      <charset val="204"/>
    </font>
    <font>
      <b/>
      <sz val="11"/>
      <name val="Arial Cyr"/>
      <family val="2"/>
      <charset val="204"/>
    </font>
    <font>
      <sz val="11"/>
      <name val="Arial Cyr"/>
      <family val="2"/>
      <charset val="204"/>
    </font>
    <font>
      <b/>
      <sz val="14"/>
      <name val="Arial Cyr"/>
      <charset val="204"/>
    </font>
    <font>
      <b/>
      <sz val="10"/>
      <name val="Arial Cyr"/>
      <charset val="204"/>
    </font>
    <font>
      <b/>
      <sz val="10"/>
      <name val="Arial Cyr"/>
      <family val="2"/>
      <charset val="204"/>
    </font>
    <font>
      <sz val="12"/>
      <name val="Arial Cyr"/>
      <family val="2"/>
      <charset val="204"/>
    </font>
    <font>
      <b/>
      <sz val="12"/>
      <name val="Arial Cyr"/>
      <family val="2"/>
      <charset val="204"/>
    </font>
    <font>
      <b/>
      <i/>
      <sz val="12"/>
      <name val="Arial Cyr"/>
      <family val="2"/>
      <charset val="204"/>
    </font>
    <font>
      <b/>
      <sz val="11"/>
      <name val="Arial Cyr"/>
      <charset val="204"/>
    </font>
    <font>
      <sz val="10"/>
      <name val="Arial"/>
      <family val="2"/>
      <charset val="204"/>
    </font>
    <font>
      <sz val="10"/>
      <name val="Times New Roman"/>
      <family val="1"/>
    </font>
    <font>
      <sz val="10"/>
      <color indexed="8"/>
      <name val="Arial Cyr"/>
      <family val="2"/>
      <charset val="204"/>
    </font>
    <font>
      <sz val="8"/>
      <name val="Arial Cyr"/>
      <charset val="204"/>
    </font>
    <font>
      <sz val="11"/>
      <color theme="0"/>
      <name val="Arial Cyr"/>
      <family val="2"/>
      <charset val="204"/>
    </font>
    <font>
      <sz val="10"/>
      <color theme="0"/>
      <name val="Arial Cyr"/>
      <charset val="204"/>
    </font>
    <font>
      <sz val="11"/>
      <name val="Arial Cyr"/>
      <charset val="204"/>
    </font>
    <font>
      <sz val="10"/>
      <color theme="0"/>
      <name val="Arial Cyr"/>
      <family val="2"/>
      <charset val="204"/>
    </font>
    <font>
      <b/>
      <sz val="12"/>
      <name val="Arial Cyr"/>
      <charset val="204"/>
    </font>
    <font>
      <sz val="10"/>
      <color theme="1" tint="4.9989318521683403E-2"/>
      <name val="Arial Cyr"/>
      <family val="2"/>
      <charset val="204"/>
    </font>
    <font>
      <b/>
      <sz val="11"/>
      <color indexed="8"/>
      <name val="Arial Cyr"/>
      <charset val="204"/>
    </font>
    <font>
      <i/>
      <sz val="10"/>
      <name val="Arial Cyr"/>
      <charset val="204"/>
    </font>
    <font>
      <i/>
      <sz val="10"/>
      <name val="Arial Cyr"/>
      <family val="2"/>
      <charset val="204"/>
    </font>
    <font>
      <sz val="11"/>
      <color theme="0"/>
      <name val="Arial Cyr"/>
      <charset val="204"/>
    </font>
    <font>
      <b/>
      <sz val="10"/>
      <color indexed="8"/>
      <name val="Arial"/>
      <family val="2"/>
      <charset val="204"/>
    </font>
    <font>
      <sz val="10"/>
      <color indexed="9"/>
      <name val="Arial Cyr"/>
      <charset val="204"/>
    </font>
    <font>
      <b/>
      <sz val="11"/>
      <color indexed="9"/>
      <name val="Arial Cyr"/>
      <charset val="204"/>
    </font>
    <font>
      <b/>
      <sz val="10"/>
      <name val="Arial"/>
      <family val="2"/>
      <charset val="204"/>
    </font>
    <font>
      <b/>
      <sz val="10"/>
      <color theme="0"/>
      <name val="Arial Cyr"/>
      <family val="2"/>
      <charset val="204"/>
    </font>
    <font>
      <b/>
      <sz val="10"/>
      <color theme="0"/>
      <name val="Arial Cyr"/>
      <charset val="204"/>
    </font>
    <font>
      <b/>
      <sz val="10"/>
      <color indexed="8"/>
      <name val="Arial Cyr"/>
      <charset val="204"/>
    </font>
    <font>
      <sz val="12"/>
      <color theme="4" tint="0.79998168889431442"/>
      <name val="Arial Cyr"/>
      <family val="2"/>
      <charset val="204"/>
    </font>
    <font>
      <sz val="10"/>
      <color indexed="10"/>
      <name val="Arial Cyr"/>
      <family val="2"/>
      <charset val="204"/>
    </font>
    <font>
      <sz val="8"/>
      <name val="Arial"/>
      <family val="2"/>
      <charset val="204"/>
    </font>
    <font>
      <b/>
      <sz val="11"/>
      <color theme="0"/>
      <name val="Arial Cyr"/>
      <charset val="204"/>
    </font>
    <font>
      <sz val="10"/>
      <color theme="4" tint="0.79998168889431442"/>
      <name val="Arial Cyr"/>
      <family val="2"/>
      <charset val="204"/>
    </font>
    <font>
      <b/>
      <sz val="12"/>
      <name val="Times New Roman"/>
      <family val="1"/>
      <charset val="204"/>
    </font>
    <font>
      <b/>
      <i/>
      <sz val="10"/>
      <name val="Arial Cyr"/>
      <family val="2"/>
      <charset val="204"/>
    </font>
    <font>
      <b/>
      <i/>
      <sz val="10"/>
      <name val="Arial Cyr"/>
      <charset val="204"/>
    </font>
    <font>
      <b/>
      <i/>
      <sz val="10"/>
      <color indexed="8"/>
      <name val="Arial Cyr"/>
      <charset val="204"/>
    </font>
    <font>
      <sz val="10"/>
      <color indexed="8"/>
      <name val="Arial Cyr"/>
      <charset val="204"/>
    </font>
    <font>
      <b/>
      <sz val="12"/>
      <color indexed="8"/>
      <name val="Arial CYR"/>
      <family val="2"/>
      <charset val="204"/>
    </font>
    <font>
      <sz val="11"/>
      <color indexed="8"/>
      <name val="Arial CYR"/>
      <family val="2"/>
      <charset val="204"/>
    </font>
    <font>
      <b/>
      <sz val="11"/>
      <color indexed="8"/>
      <name val="Arial Cyr"/>
      <family val="2"/>
      <charset val="204"/>
    </font>
    <font>
      <sz val="12"/>
      <name val="Arial Cyr"/>
      <charset val="204"/>
    </font>
    <font>
      <b/>
      <i/>
      <sz val="11"/>
      <name val="Arial Cyr"/>
      <family val="2"/>
      <charset val="204"/>
    </font>
    <font>
      <b/>
      <i/>
      <sz val="11"/>
      <name val="Arial Cyr"/>
      <charset val="204"/>
    </font>
    <font>
      <sz val="10"/>
      <color theme="1"/>
      <name val="Arial Cyr"/>
      <charset val="204"/>
    </font>
    <font>
      <b/>
      <sz val="13"/>
      <name val="Times New Roman"/>
      <family val="1"/>
      <charset val="204"/>
    </font>
    <font>
      <sz val="13"/>
      <name val="Arial Cyr"/>
      <family val="2"/>
      <charset val="204"/>
    </font>
    <font>
      <b/>
      <sz val="14"/>
      <color rgb="FFFF0000"/>
      <name val="Arial Cyr"/>
      <charset val="204"/>
    </font>
    <font>
      <b/>
      <sz val="10"/>
      <color rgb="FFFF0000"/>
      <name val="Arial Cyr"/>
      <charset val="204"/>
    </font>
    <font>
      <sz val="10"/>
      <name val="Times New Roman"/>
      <family val="1"/>
      <charset val="204"/>
    </font>
    <font>
      <sz val="10"/>
      <color indexed="8"/>
      <name val="Times New Roman"/>
      <family val="1"/>
    </font>
    <font>
      <sz val="11"/>
      <name val="Times New Roman"/>
      <family val="1"/>
    </font>
    <font>
      <b/>
      <sz val="22"/>
      <name val="Times New Roman"/>
      <family val="1"/>
    </font>
    <font>
      <u/>
      <sz val="10"/>
      <name val="Times New Roman"/>
      <family val="1"/>
    </font>
    <font>
      <b/>
      <sz val="11"/>
      <name val="Times New Roman"/>
      <family val="1"/>
      <charset val="204"/>
    </font>
    <font>
      <b/>
      <sz val="11"/>
      <color indexed="8"/>
      <name val="Times New Roman"/>
      <family val="1"/>
    </font>
    <font>
      <b/>
      <sz val="12"/>
      <color indexed="8"/>
      <name val="Times New Roman"/>
      <family val="1"/>
    </font>
    <font>
      <b/>
      <sz val="11"/>
      <name val="Times New Roman"/>
      <family val="1"/>
    </font>
    <font>
      <b/>
      <sz val="10"/>
      <name val="Times New Roman"/>
      <family val="1"/>
    </font>
    <font>
      <b/>
      <sz val="10"/>
      <color indexed="8"/>
      <name val="Times New Roman"/>
      <family val="1"/>
      <charset val="204"/>
    </font>
    <font>
      <sz val="11"/>
      <color indexed="8"/>
      <name val="Times New Roman"/>
      <family val="1"/>
    </font>
    <font>
      <sz val="8"/>
      <name val="Times New Roman"/>
      <family val="1"/>
    </font>
    <font>
      <b/>
      <sz val="10"/>
      <name val="Times New Roman"/>
      <family val="1"/>
      <charset val="204"/>
    </font>
    <font>
      <sz val="10"/>
      <name val="Times New Roman"/>
      <charset val="204"/>
    </font>
    <font>
      <sz val="12"/>
      <name val="Times New Roman CYR"/>
      <family val="1"/>
      <charset val="204"/>
    </font>
    <font>
      <sz val="10"/>
      <color indexed="8"/>
      <name val="Times New Roman"/>
      <family val="1"/>
      <charset val="204"/>
    </font>
    <font>
      <b/>
      <i/>
      <sz val="10"/>
      <color indexed="8"/>
      <name val="Times New Roman"/>
      <family val="1"/>
      <charset val="204"/>
    </font>
    <font>
      <sz val="11"/>
      <color theme="1"/>
      <name val="Times New Roman"/>
      <family val="1"/>
    </font>
    <font>
      <i/>
      <sz val="11"/>
      <name val="Times New Roman"/>
      <family val="1"/>
    </font>
    <font>
      <sz val="9"/>
      <name val="Times New Roman"/>
      <family val="1"/>
      <charset val="204"/>
    </font>
    <font>
      <b/>
      <i/>
      <sz val="10"/>
      <name val="Times New Roman"/>
      <family val="1"/>
      <charset val="204"/>
    </font>
    <font>
      <b/>
      <i/>
      <sz val="11"/>
      <color indexed="8"/>
      <name val="Times New Roman"/>
      <family val="1"/>
    </font>
    <font>
      <b/>
      <i/>
      <sz val="11"/>
      <name val="Times New Roman"/>
      <family val="1"/>
    </font>
    <font>
      <b/>
      <i/>
      <sz val="9"/>
      <name val="Times New Roman"/>
      <family val="1"/>
      <charset val="204"/>
    </font>
    <font>
      <b/>
      <sz val="9"/>
      <name val="Times New Roman"/>
      <family val="1"/>
      <charset val="204"/>
    </font>
    <font>
      <b/>
      <sz val="9"/>
      <name val="Times New Roman"/>
      <family val="1"/>
    </font>
    <font>
      <sz val="9"/>
      <name val="Times New Roman"/>
      <family val="1"/>
    </font>
    <font>
      <b/>
      <sz val="11"/>
      <color indexed="10"/>
      <name val="Times New Roman"/>
      <family val="1"/>
    </font>
    <font>
      <b/>
      <sz val="9"/>
      <color indexed="10"/>
      <name val="Times New Roman"/>
      <family val="1"/>
    </font>
    <font>
      <sz val="11"/>
      <color indexed="10"/>
      <name val="Times New Roman"/>
      <family val="1"/>
    </font>
    <font>
      <sz val="10"/>
      <color indexed="10"/>
      <name val="Times New Roman"/>
      <family val="1"/>
      <charset val="204"/>
    </font>
    <font>
      <b/>
      <sz val="10"/>
      <color indexed="8"/>
      <name val="Times New Roman"/>
      <family val="1"/>
    </font>
    <font>
      <sz val="10"/>
      <color indexed="10"/>
      <name val="Times New Roman"/>
      <family val="1"/>
    </font>
    <font>
      <sz val="12"/>
      <name val="Times New Roman"/>
      <family val="1"/>
    </font>
    <font>
      <b/>
      <sz val="12"/>
      <name val="Times New Roman"/>
      <family val="1"/>
    </font>
    <font>
      <sz val="10"/>
      <color rgb="FFFF0000"/>
      <name val="Times New Roman"/>
      <family val="1"/>
    </font>
    <font>
      <sz val="14"/>
      <color rgb="FFFF0000"/>
      <name val="Times New Roman"/>
      <family val="1"/>
    </font>
    <font>
      <b/>
      <sz val="14"/>
      <color indexed="8"/>
      <name val="Times New Roman"/>
      <family val="1"/>
    </font>
    <font>
      <b/>
      <sz val="13"/>
      <color indexed="8"/>
      <name val="Times New Roman"/>
      <family val="1"/>
    </font>
    <font>
      <sz val="11"/>
      <name val="Times New Roman"/>
      <family val="1"/>
      <charset val="204"/>
    </font>
    <font>
      <b/>
      <sz val="16"/>
      <name val="Times New Roman"/>
      <family val="1"/>
      <charset val="204"/>
    </font>
    <font>
      <u/>
      <sz val="12"/>
      <name val="Times New Roman"/>
      <family val="1"/>
      <charset val="204"/>
    </font>
    <font>
      <sz val="12"/>
      <name val="Times New Roman"/>
      <family val="1"/>
      <charset val="204"/>
    </font>
    <font>
      <sz val="8"/>
      <name val="Times New Roman"/>
      <family val="1"/>
      <charset val="204"/>
    </font>
    <font>
      <sz val="13"/>
      <name val="Arial Cyr"/>
      <charset val="204"/>
    </font>
    <font>
      <i/>
      <sz val="13"/>
      <name val="Arial Cyr"/>
      <charset val="204"/>
    </font>
    <font>
      <b/>
      <sz val="11"/>
      <color indexed="10"/>
      <name val="Times New Roman"/>
      <family val="1"/>
      <charset val="204"/>
    </font>
    <font>
      <sz val="11"/>
      <color indexed="10"/>
      <name val="Times New Roman"/>
      <family val="1"/>
      <charset val="204"/>
    </font>
    <font>
      <b/>
      <sz val="11"/>
      <color indexed="8"/>
      <name val="Times New Roman"/>
      <family val="1"/>
      <charset val="204"/>
    </font>
    <font>
      <sz val="11"/>
      <color indexed="8"/>
      <name val="Times New Roman"/>
      <family val="1"/>
      <charset val="204"/>
    </font>
    <font>
      <i/>
      <sz val="11"/>
      <name val="Times New Roman"/>
      <family val="1"/>
      <charset val="204"/>
    </font>
    <font>
      <i/>
      <sz val="12"/>
      <name val="Times New Roman"/>
      <family val="1"/>
      <charset val="204"/>
    </font>
    <font>
      <i/>
      <sz val="11"/>
      <color indexed="8"/>
      <name val="Times New Roman"/>
      <family val="1"/>
      <charset val="204"/>
    </font>
    <font>
      <b/>
      <sz val="11"/>
      <name val="Times New Roman Cyr"/>
      <family val="1"/>
      <charset val="204"/>
    </font>
    <font>
      <sz val="11"/>
      <name val="Times New Roman Cyr"/>
      <family val="1"/>
      <charset val="204"/>
    </font>
    <font>
      <sz val="11"/>
      <name val="Times New Roman Cyr"/>
      <charset val="204"/>
    </font>
    <font>
      <b/>
      <sz val="18"/>
      <name val="Times New Roman"/>
      <family val="1"/>
      <charset val="204"/>
    </font>
    <font>
      <b/>
      <sz val="14"/>
      <name val="Times New Roman"/>
      <family val="1"/>
      <charset val="204"/>
    </font>
    <font>
      <sz val="18"/>
      <name val="Times New Roman"/>
      <family val="1"/>
      <charset val="204"/>
    </font>
    <font>
      <b/>
      <sz val="14"/>
      <color theme="1"/>
      <name val="Times New Roman"/>
      <family val="1"/>
      <charset val="204"/>
    </font>
    <font>
      <sz val="14"/>
      <name val="Times New Roman"/>
      <family val="1"/>
      <charset val="204"/>
    </font>
    <font>
      <sz val="10"/>
      <color theme="1"/>
      <name val="Times New Roman"/>
      <family val="1"/>
      <charset val="204"/>
    </font>
    <font>
      <b/>
      <sz val="8"/>
      <name val="Times New Roman"/>
      <family val="1"/>
      <charset val="204"/>
    </font>
    <font>
      <i/>
      <sz val="10"/>
      <name val="Times New Roman"/>
      <family val="1"/>
      <charset val="204"/>
    </font>
    <font>
      <sz val="8"/>
      <color theme="1"/>
      <name val="Times New Roman"/>
      <family val="1"/>
      <charset val="204"/>
    </font>
    <font>
      <sz val="10"/>
      <color indexed="8"/>
      <name val="Arial"/>
      <family val="2"/>
      <charset val="204"/>
    </font>
    <font>
      <b/>
      <sz val="12"/>
      <color theme="1"/>
      <name val="Times New Roman"/>
      <family val="1"/>
      <charset val="204"/>
    </font>
    <font>
      <sz val="12"/>
      <color theme="1"/>
      <name val="Times New Roman"/>
      <family val="1"/>
      <charset val="204"/>
    </font>
    <font>
      <b/>
      <i/>
      <sz val="11"/>
      <name val="Times New Roman"/>
      <family val="1"/>
      <charset val="204"/>
    </font>
    <font>
      <b/>
      <i/>
      <sz val="12"/>
      <name val="Times New Roman"/>
      <family val="1"/>
      <charset val="204"/>
    </font>
    <font>
      <i/>
      <sz val="12"/>
      <color theme="1"/>
      <name val="Times New Roman"/>
      <family val="1"/>
      <charset val="204"/>
    </font>
    <font>
      <b/>
      <i/>
      <sz val="12"/>
      <color theme="1"/>
      <name val="Times New Roman"/>
      <family val="1"/>
      <charset val="204"/>
    </font>
    <font>
      <b/>
      <sz val="11"/>
      <color theme="0"/>
      <name val="Times New Roman"/>
      <family val="1"/>
      <charset val="204"/>
    </font>
    <font>
      <sz val="12"/>
      <color theme="0"/>
      <name val="Times New Roman"/>
      <family val="1"/>
      <charset val="204"/>
    </font>
    <font>
      <b/>
      <sz val="12"/>
      <color theme="0"/>
      <name val="Times New Roman"/>
      <family val="1"/>
      <charset val="204"/>
    </font>
    <font>
      <b/>
      <sz val="10"/>
      <color rgb="FFFF0000"/>
      <name val="Times New Roman"/>
      <family val="1"/>
      <charset val="204"/>
    </font>
    <font>
      <sz val="10"/>
      <name val="Times New Roman CYR"/>
      <charset val="204"/>
    </font>
    <font>
      <sz val="10"/>
      <color indexed="10"/>
      <name val="Times New Roman CYR"/>
      <charset val="204"/>
    </font>
    <font>
      <i/>
      <sz val="10"/>
      <name val="Times New Roman Cyr"/>
      <charset val="204"/>
    </font>
    <font>
      <b/>
      <sz val="12"/>
      <color indexed="10"/>
      <name val="Times New Roman"/>
      <family val="1"/>
      <charset val="204"/>
    </font>
    <font>
      <b/>
      <sz val="9"/>
      <name val="Times New Roman CYR"/>
      <charset val="204"/>
    </font>
    <font>
      <b/>
      <sz val="10"/>
      <name val="Times New Roman Cyr"/>
      <charset val="204"/>
    </font>
    <font>
      <sz val="12"/>
      <color indexed="10"/>
      <name val="Times New Roman"/>
      <family val="1"/>
      <charset val="204"/>
    </font>
    <font>
      <i/>
      <sz val="11"/>
      <color rgb="FFFF0000"/>
      <name val="Times New Roman"/>
      <family val="1"/>
      <charset val="204"/>
    </font>
    <font>
      <sz val="12"/>
      <color rgb="FFFF0000"/>
      <name val="Times New Roman"/>
      <family val="1"/>
      <charset val="204"/>
    </font>
    <font>
      <b/>
      <sz val="14"/>
      <name val="Times New Roman Cyr"/>
      <charset val="204"/>
    </font>
    <font>
      <b/>
      <u/>
      <sz val="11"/>
      <name val="Times New Roman"/>
      <family val="1"/>
      <charset val="204"/>
    </font>
    <font>
      <b/>
      <sz val="20"/>
      <name val="Times New Roman"/>
      <family val="1"/>
      <charset val="204"/>
    </font>
    <font>
      <sz val="10"/>
      <color rgb="FFFF0000"/>
      <name val="Times New Roman"/>
      <family val="1"/>
      <charset val="204"/>
    </font>
    <font>
      <sz val="11"/>
      <color rgb="FFFF0000"/>
      <name val="Times New Roman"/>
      <family val="1"/>
      <charset val="204"/>
    </font>
    <font>
      <b/>
      <sz val="14"/>
      <name val="Arial Cyr"/>
      <family val="2"/>
      <charset val="204"/>
    </font>
    <font>
      <sz val="10"/>
      <name val="Times New Roman Cyr"/>
      <family val="1"/>
      <charset val="204"/>
    </font>
    <font>
      <b/>
      <sz val="16"/>
      <name val="Times New Roman CYR"/>
      <family val="1"/>
      <charset val="204"/>
    </font>
    <font>
      <u/>
      <sz val="10"/>
      <name val="Times New Roman"/>
      <family val="1"/>
      <charset val="204"/>
    </font>
    <font>
      <sz val="14"/>
      <color indexed="8"/>
      <name val="Times New Roman CYR"/>
      <family val="1"/>
      <charset val="204"/>
    </font>
    <font>
      <sz val="14"/>
      <color indexed="8"/>
      <name val="Times New Roman Cyr"/>
      <charset val="204"/>
    </font>
    <font>
      <b/>
      <sz val="14"/>
      <color indexed="8"/>
      <name val="Times New Roman Cyr"/>
      <charset val="204"/>
    </font>
    <font>
      <i/>
      <sz val="14"/>
      <color indexed="8"/>
      <name val="Times New Roman CYR"/>
      <charset val="204"/>
    </font>
    <font>
      <sz val="14"/>
      <color indexed="8"/>
      <name val="Times New Roman"/>
      <family val="1"/>
      <charset val="204"/>
    </font>
    <font>
      <sz val="14"/>
      <color theme="1"/>
      <name val="Times New Roman CYR"/>
      <family val="1"/>
      <charset val="204"/>
    </font>
    <font>
      <sz val="14"/>
      <color theme="1"/>
      <name val="Times New Roman"/>
      <family val="1"/>
      <charset val="204"/>
    </font>
    <font>
      <sz val="10"/>
      <color rgb="FFFF0000"/>
      <name val="Times New Roman Cyr"/>
      <family val="1"/>
      <charset val="204"/>
    </font>
    <font>
      <i/>
      <sz val="14"/>
      <color rgb="FF000000"/>
      <name val="Times New Roman"/>
      <family val="1"/>
      <charset val="204"/>
    </font>
    <font>
      <i/>
      <sz val="14"/>
      <color indexed="8"/>
      <name val="Times New Roman Cyr"/>
      <family val="1"/>
      <charset val="204"/>
    </font>
    <font>
      <sz val="11"/>
      <color indexed="8"/>
      <name val="Calibri"/>
      <family val="2"/>
      <charset val="204"/>
    </font>
    <font>
      <sz val="11"/>
      <color theme="1"/>
      <name val="Calibri"/>
      <family val="2"/>
      <scheme val="minor"/>
    </font>
    <font>
      <b/>
      <sz val="11"/>
      <color rgb="FF000000"/>
      <name val="Times New Roman"/>
      <family val="1"/>
      <charset val="204"/>
    </font>
    <font>
      <sz val="11"/>
      <color rgb="FF000000"/>
      <name val="Times New Roman"/>
      <family val="1"/>
      <charset val="204"/>
    </font>
    <font>
      <sz val="10"/>
      <color rgb="FF000000"/>
      <name val="Times New Roman"/>
      <family val="1"/>
      <charset val="204"/>
    </font>
    <font>
      <b/>
      <sz val="11"/>
      <color theme="1"/>
      <name val="Times New Roman"/>
      <family val="1"/>
      <charset val="204"/>
    </font>
    <font>
      <b/>
      <i/>
      <sz val="14"/>
      <color indexed="8"/>
      <name val="Times New Roman"/>
      <family val="1"/>
      <charset val="204"/>
    </font>
    <font>
      <i/>
      <sz val="9"/>
      <color rgb="FF000000"/>
      <name val="Times New Roman"/>
      <family val="1"/>
      <charset val="204"/>
    </font>
    <font>
      <u/>
      <sz val="11"/>
      <name val="Times New Roman"/>
      <family val="1"/>
      <charset val="204"/>
    </font>
    <font>
      <b/>
      <sz val="12"/>
      <color indexed="8"/>
      <name val="Times New Roman"/>
      <family val="1"/>
      <charset val="204"/>
    </font>
    <font>
      <i/>
      <sz val="10"/>
      <color indexed="8"/>
      <name val="Times New Roman"/>
      <family val="1"/>
      <charset val="204"/>
    </font>
    <font>
      <b/>
      <i/>
      <sz val="11"/>
      <color indexed="8"/>
      <name val="Times New Roman"/>
      <family val="1"/>
      <charset val="204"/>
    </font>
    <font>
      <b/>
      <i/>
      <sz val="10"/>
      <color theme="1"/>
      <name val="Times New Roman"/>
      <family val="1"/>
      <charset val="204"/>
    </font>
    <font>
      <b/>
      <i/>
      <sz val="14"/>
      <name val="Times New Roman"/>
      <family val="1"/>
      <charset val="204"/>
    </font>
    <font>
      <b/>
      <i/>
      <sz val="14"/>
      <color theme="1"/>
      <name val="Times New Roman"/>
      <family val="1"/>
      <charset val="204"/>
    </font>
    <font>
      <i/>
      <sz val="14"/>
      <name val="Times New Roman"/>
      <family val="1"/>
      <charset val="204"/>
    </font>
    <font>
      <i/>
      <sz val="14"/>
      <color theme="1"/>
      <name val="Times New Roman"/>
      <family val="1"/>
      <charset val="204"/>
    </font>
    <font>
      <b/>
      <sz val="14"/>
      <color indexed="8"/>
      <name val="Times New Roman"/>
      <family val="1"/>
      <charset val="204"/>
    </font>
    <font>
      <sz val="16"/>
      <name val="Times New Roman"/>
      <family val="1"/>
      <charset val="204"/>
    </font>
    <font>
      <b/>
      <sz val="15"/>
      <name val="Times New Roman Cyr"/>
      <family val="1"/>
      <charset val="204"/>
    </font>
    <font>
      <b/>
      <sz val="12"/>
      <name val="Times New Roman Cyr"/>
      <family val="1"/>
      <charset val="204"/>
    </font>
    <font>
      <b/>
      <i/>
      <sz val="12"/>
      <name val="Times New Roman"/>
      <family val="1"/>
    </font>
    <font>
      <b/>
      <i/>
      <sz val="12"/>
      <name val="Times New Roman Cyr"/>
      <family val="1"/>
      <charset val="204"/>
    </font>
    <font>
      <sz val="12"/>
      <color indexed="8"/>
      <name val="Times New Roman"/>
      <family val="1"/>
      <charset val="204"/>
    </font>
    <font>
      <sz val="12"/>
      <name val="Times New Roman Cyr"/>
      <charset val="204"/>
    </font>
    <font>
      <i/>
      <sz val="12"/>
      <name val="Times New Roman CYR"/>
      <charset val="204"/>
    </font>
    <font>
      <b/>
      <i/>
      <sz val="10"/>
      <name val="Times New Roman Cyr"/>
      <family val="1"/>
      <charset val="204"/>
    </font>
    <font>
      <b/>
      <i/>
      <sz val="12"/>
      <color indexed="8"/>
      <name val="Times New Roman"/>
      <family val="1"/>
      <charset val="204"/>
    </font>
    <font>
      <b/>
      <i/>
      <sz val="12"/>
      <name val="Times New Roman CYR"/>
      <charset val="204"/>
    </font>
    <font>
      <i/>
      <sz val="10"/>
      <name val="Times New Roman Cyr"/>
      <family val="1"/>
      <charset val="204"/>
    </font>
    <font>
      <b/>
      <sz val="10"/>
      <name val="Times New Roman Cyr"/>
      <family val="1"/>
      <charset val="204"/>
    </font>
    <font>
      <sz val="12"/>
      <color indexed="8"/>
      <name val="Times New Roman Cyr"/>
      <family val="1"/>
      <charset val="204"/>
    </font>
    <font>
      <b/>
      <sz val="12"/>
      <color indexed="8"/>
      <name val="Times New Roman Cyr"/>
      <family val="1"/>
      <charset val="204"/>
    </font>
    <font>
      <sz val="12"/>
      <color indexed="8"/>
      <name val="Times New Roman Cyr"/>
      <charset val="204"/>
    </font>
    <font>
      <b/>
      <sz val="14"/>
      <name val="Times New Roman Cyr"/>
      <family val="1"/>
      <charset val="204"/>
    </font>
    <font>
      <sz val="12"/>
      <color theme="0"/>
      <name val="Times New Roman CYR"/>
      <family val="1"/>
      <charset val="204"/>
    </font>
    <font>
      <sz val="13"/>
      <name val="Times New Roman"/>
      <family val="1"/>
      <charset val="204"/>
    </font>
    <font>
      <b/>
      <sz val="23"/>
      <name val="Times New Roman"/>
      <family val="1"/>
      <charset val="204"/>
    </font>
    <font>
      <b/>
      <sz val="25"/>
      <name val="Times New Roman"/>
      <family val="1"/>
      <charset val="204"/>
    </font>
    <font>
      <b/>
      <sz val="15"/>
      <name val="Times New Roman"/>
      <family val="1"/>
      <charset val="204"/>
    </font>
    <font>
      <sz val="15"/>
      <name val="Times New Roman"/>
      <family val="1"/>
      <charset val="204"/>
    </font>
    <font>
      <sz val="14"/>
      <color rgb="FFFF0000"/>
      <name val="Times New Roman"/>
      <family val="1"/>
      <charset val="204"/>
    </font>
    <font>
      <sz val="11"/>
      <color theme="0"/>
      <name val="Times New Roman"/>
      <family val="1"/>
      <charset val="204"/>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1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C99FF"/>
        <bgColor indexed="64"/>
      </patternFill>
    </fill>
    <fill>
      <patternFill patternType="solid">
        <fgColor rgb="FF9999FF"/>
        <bgColor indexed="64"/>
      </patternFill>
    </fill>
    <fill>
      <patternFill patternType="solid">
        <fgColor theme="6" tint="0.39997558519241921"/>
        <bgColor indexed="64"/>
      </patternFill>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rgb="FF92D050"/>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indexed="5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0">
    <xf numFmtId="0" fontId="0" fillId="0" borderId="0"/>
    <xf numFmtId="0" fontId="13" fillId="0" borderId="0"/>
    <xf numFmtId="0" fontId="55" fillId="0" borderId="0"/>
    <xf numFmtId="0" fontId="1" fillId="0" borderId="0"/>
    <xf numFmtId="0" fontId="69" fillId="0" borderId="0"/>
    <xf numFmtId="0" fontId="70" fillId="0" borderId="0"/>
    <xf numFmtId="0" fontId="2" fillId="0" borderId="0"/>
    <xf numFmtId="0" fontId="1" fillId="0" borderId="0"/>
    <xf numFmtId="0" fontId="2" fillId="0" borderId="0"/>
    <xf numFmtId="0" fontId="55" fillId="0" borderId="0"/>
    <xf numFmtId="0" fontId="13" fillId="0" borderId="0"/>
    <xf numFmtId="0" fontId="121" fillId="0" borderId="0">
      <alignment vertical="top"/>
    </xf>
    <xf numFmtId="0" fontId="13" fillId="0" borderId="0"/>
    <xf numFmtId="0" fontId="13" fillId="0" borderId="0"/>
    <xf numFmtId="0" fontId="160" fillId="0" borderId="0"/>
    <xf numFmtId="0" fontId="2" fillId="0" borderId="0"/>
    <xf numFmtId="0" fontId="161" fillId="0" borderId="0"/>
    <xf numFmtId="177" fontId="2" fillId="0" borderId="0" applyFont="0" applyFill="0" applyBorder="0" applyAlignment="0" applyProtection="0"/>
    <xf numFmtId="0" fontId="2" fillId="0" borderId="0"/>
    <xf numFmtId="0" fontId="1" fillId="0" borderId="0"/>
  </cellStyleXfs>
  <cellXfs count="2160">
    <xf numFmtId="0" fontId="0" fillId="0" borderId="0" xfId="0"/>
    <xf numFmtId="0" fontId="3" fillId="0" borderId="0" xfId="0" applyFont="1" applyAlignment="1">
      <alignment vertical="center" wrapText="1"/>
    </xf>
    <xf numFmtId="0" fontId="3" fillId="0" borderId="0" xfId="0" applyFont="1" applyAlignment="1">
      <alignment horizontal="center" vertical="center"/>
    </xf>
    <xf numFmtId="0" fontId="3" fillId="2" borderId="0" xfId="0" applyFont="1" applyFill="1" applyAlignment="1">
      <alignment horizontal="center"/>
    </xf>
    <xf numFmtId="9" fontId="3" fillId="3" borderId="0" xfId="0" applyNumberFormat="1" applyFont="1" applyFill="1" applyAlignment="1">
      <alignment horizontal="center"/>
    </xf>
    <xf numFmtId="164" fontId="3" fillId="3" borderId="0" xfId="0" applyNumberFormat="1"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left"/>
    </xf>
    <xf numFmtId="0" fontId="3" fillId="0" borderId="0" xfId="0" applyFont="1"/>
    <xf numFmtId="0" fontId="3" fillId="0" borderId="0" xfId="0" applyFont="1" applyAlignment="1">
      <alignment horizontal="center"/>
    </xf>
    <xf numFmtId="9" fontId="3" fillId="0" borderId="0" xfId="0" applyNumberFormat="1" applyFont="1" applyAlignment="1">
      <alignment horizontal="center"/>
    </xf>
    <xf numFmtId="0" fontId="4" fillId="0" borderId="0" xfId="0" applyFont="1" applyAlignment="1">
      <alignment horizontal="left"/>
    </xf>
    <xf numFmtId="0" fontId="9" fillId="3" borderId="0" xfId="0" applyFont="1" applyFill="1" applyAlignment="1">
      <alignment horizontal="center"/>
    </xf>
    <xf numFmtId="165" fontId="7" fillId="3" borderId="2" xfId="0"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wrapText="1"/>
    </xf>
    <xf numFmtId="165" fontId="7" fillId="3" borderId="2" xfId="0" applyNumberFormat="1" applyFont="1" applyFill="1" applyBorder="1" applyAlignment="1">
      <alignment horizontal="center" vertical="center"/>
    </xf>
    <xf numFmtId="0" fontId="3" fillId="4" borderId="0" xfId="0" applyFont="1" applyFill="1"/>
    <xf numFmtId="1" fontId="3" fillId="3" borderId="1" xfId="0" applyNumberFormat="1" applyFont="1" applyFill="1" applyBorder="1" applyAlignment="1">
      <alignment horizontal="center" vertical="center" wrapText="1"/>
    </xf>
    <xf numFmtId="166"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0" fontId="12" fillId="3" borderId="2" xfId="0" applyFont="1" applyFill="1" applyBorder="1" applyAlignment="1">
      <alignment horizontal="left" vertical="center" wrapText="1"/>
    </xf>
    <xf numFmtId="49" fontId="12" fillId="3" borderId="2"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6" fontId="12" fillId="3" borderId="2" xfId="0" applyNumberFormat="1" applyFont="1" applyFill="1" applyBorder="1" applyAlignment="1">
      <alignment horizontal="center" vertical="center"/>
    </xf>
    <xf numFmtId="165" fontId="12" fillId="0" borderId="0" xfId="0" applyNumberFormat="1" applyFont="1"/>
    <xf numFmtId="0" fontId="12" fillId="0" borderId="0" xfId="0" applyFont="1"/>
    <xf numFmtId="0" fontId="7" fillId="3" borderId="2" xfId="0" applyFont="1" applyFill="1" applyBorder="1" applyAlignment="1">
      <alignment horizontal="left" vertical="center" wrapText="1"/>
    </xf>
    <xf numFmtId="1" fontId="7" fillId="3" borderId="2"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xf>
    <xf numFmtId="166" fontId="7" fillId="3" borderId="2" xfId="0" applyNumberFormat="1" applyFont="1" applyFill="1" applyBorder="1" applyAlignment="1">
      <alignment horizontal="center" vertical="center"/>
    </xf>
    <xf numFmtId="0" fontId="7" fillId="0" borderId="0" xfId="0" applyFont="1"/>
    <xf numFmtId="0" fontId="13" fillId="3" borderId="2" xfId="0" applyFont="1" applyFill="1" applyBorder="1"/>
    <xf numFmtId="164" fontId="0"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0" fillId="3" borderId="2" xfId="0" applyNumberFormat="1" applyFill="1" applyBorder="1" applyAlignment="1">
      <alignment horizontal="center" vertical="center"/>
    </xf>
    <xf numFmtId="165" fontId="5" fillId="0" borderId="0" xfId="0" applyNumberFormat="1" applyFont="1"/>
    <xf numFmtId="0" fontId="14" fillId="0" borderId="0" xfId="0" applyFont="1" applyAlignment="1">
      <alignment horizontal="center" vertical="center"/>
    </xf>
    <xf numFmtId="0" fontId="13" fillId="3" borderId="2" xfId="0" applyFont="1" applyFill="1" applyBorder="1" applyAlignment="1">
      <alignment vertical="top" wrapText="1"/>
    </xf>
    <xf numFmtId="0" fontId="13" fillId="3" borderId="2" xfId="0" applyFont="1" applyFill="1" applyBorder="1" applyAlignment="1">
      <alignment wrapText="1"/>
    </xf>
    <xf numFmtId="0" fontId="3" fillId="3" borderId="2"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1" fontId="3" fillId="3" borderId="2" xfId="0" applyNumberFormat="1" applyFont="1" applyFill="1" applyBorder="1" applyAlignment="1">
      <alignment horizontal="center" vertical="top"/>
    </xf>
    <xf numFmtId="0" fontId="0" fillId="3" borderId="2" xfId="0" applyFill="1" applyBorder="1" applyAlignment="1" applyProtection="1">
      <alignment horizontal="left" vertical="center" wrapText="1"/>
      <protection hidden="1"/>
    </xf>
    <xf numFmtId="1" fontId="3" fillId="3" borderId="2"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165" fontId="0" fillId="0" borderId="3" xfId="0" applyNumberFormat="1" applyBorder="1" applyAlignment="1" applyProtection="1">
      <alignment horizontal="right" vertical="center"/>
      <protection locked="0"/>
    </xf>
    <xf numFmtId="166" fontId="0" fillId="0" borderId="2" xfId="0" applyNumberFormat="1" applyBorder="1" applyAlignment="1">
      <alignment horizontal="right" vertical="center"/>
    </xf>
    <xf numFmtId="165" fontId="0" fillId="0" borderId="2" xfId="0" applyNumberFormat="1" applyBorder="1" applyAlignment="1">
      <alignment horizontal="right" vertical="center"/>
    </xf>
    <xf numFmtId="0" fontId="7" fillId="0" borderId="2" xfId="0" applyFont="1" applyBorder="1" applyAlignment="1">
      <alignment vertical="center" wrapText="1"/>
    </xf>
    <xf numFmtId="1" fontId="7" fillId="0" borderId="2" xfId="0" applyNumberFormat="1" applyFont="1" applyBorder="1" applyAlignment="1">
      <alignment horizontal="center" vertical="center"/>
    </xf>
    <xf numFmtId="164" fontId="7" fillId="3" borderId="1" xfId="0" applyNumberFormat="1" applyFont="1" applyFill="1" applyBorder="1" applyAlignment="1">
      <alignment horizontal="right" vertical="center"/>
    </xf>
    <xf numFmtId="166" fontId="8" fillId="3" borderId="2" xfId="0" applyNumberFormat="1" applyFont="1" applyFill="1" applyBorder="1" applyAlignment="1">
      <alignment horizontal="right" vertical="center"/>
    </xf>
    <xf numFmtId="164" fontId="7" fillId="3" borderId="2" xfId="0" applyNumberFormat="1" applyFont="1" applyFill="1" applyBorder="1" applyAlignment="1">
      <alignment horizontal="right" vertical="center"/>
    </xf>
    <xf numFmtId="166"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0" fillId="0" borderId="2" xfId="0" applyBorder="1" applyAlignment="1">
      <alignment horizontal="left" vertical="center" wrapText="1"/>
    </xf>
    <xf numFmtId="1" fontId="3" fillId="0" borderId="2" xfId="0" applyNumberFormat="1" applyFont="1" applyBorder="1" applyAlignment="1">
      <alignment horizontal="center" vertical="center"/>
    </xf>
    <xf numFmtId="164" fontId="3" fillId="3" borderId="2" xfId="0" applyNumberFormat="1" applyFont="1" applyFill="1" applyBorder="1" applyAlignment="1" applyProtection="1">
      <alignment horizontal="right" vertical="center"/>
      <protection locked="0"/>
    </xf>
    <xf numFmtId="166" fontId="3" fillId="3" borderId="2" xfId="0" applyNumberFormat="1" applyFont="1" applyFill="1" applyBorder="1" applyAlignment="1">
      <alignment horizontal="right" vertical="center"/>
    </xf>
    <xf numFmtId="164" fontId="3" fillId="2" borderId="2" xfId="0" applyNumberFormat="1" applyFont="1" applyFill="1" applyBorder="1" applyAlignment="1" applyProtection="1">
      <alignment horizontal="right" vertical="center"/>
      <protection locked="0"/>
    </xf>
    <xf numFmtId="166" fontId="3" fillId="0" borderId="2" xfId="0" applyNumberFormat="1" applyFont="1" applyBorder="1" applyAlignment="1">
      <alignment horizontal="right" vertical="center"/>
    </xf>
    <xf numFmtId="164" fontId="3" fillId="0" borderId="2" xfId="0" applyNumberFormat="1" applyFont="1" applyBorder="1" applyAlignment="1">
      <alignment horizontal="right" vertical="center"/>
    </xf>
    <xf numFmtId="0" fontId="13" fillId="5" borderId="0" xfId="0" applyFont="1" applyFill="1" applyAlignment="1">
      <alignment wrapText="1"/>
    </xf>
    <xf numFmtId="164" fontId="3" fillId="5" borderId="4" xfId="0" applyNumberFormat="1" applyFont="1" applyFill="1" applyBorder="1" applyAlignment="1" applyProtection="1">
      <alignment horizontal="right" vertical="center"/>
      <protection locked="0"/>
    </xf>
    <xf numFmtId="164" fontId="3" fillId="0" borderId="4" xfId="0" applyNumberFormat="1" applyFont="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protection locked="0"/>
    </xf>
    <xf numFmtId="0" fontId="3" fillId="3" borderId="2" xfId="0" applyFont="1" applyFill="1" applyBorder="1" applyAlignment="1" applyProtection="1">
      <alignment horizontal="left" vertical="center" wrapText="1"/>
      <protection hidden="1"/>
    </xf>
    <xf numFmtId="164" fontId="3" fillId="3" borderId="2" xfId="0" applyNumberFormat="1" applyFont="1" applyFill="1" applyBorder="1" applyAlignment="1" applyProtection="1">
      <alignment horizontal="center" vertical="center"/>
      <protection locked="0"/>
    </xf>
    <xf numFmtId="0" fontId="0" fillId="3" borderId="2" xfId="0" applyFill="1" applyBorder="1"/>
    <xf numFmtId="167" fontId="14" fillId="0" borderId="0" xfId="0" applyNumberFormat="1" applyFont="1" applyAlignment="1">
      <alignment horizontal="center" vertical="center"/>
    </xf>
    <xf numFmtId="164" fontId="3" fillId="3" borderId="4" xfId="0" applyNumberFormat="1" applyFont="1" applyFill="1" applyBorder="1" applyAlignment="1" applyProtection="1">
      <alignment horizontal="center" vertical="center"/>
      <protection locked="0"/>
    </xf>
    <xf numFmtId="1" fontId="8" fillId="3" borderId="2" xfId="0" applyNumberFormat="1" applyFont="1" applyFill="1" applyBorder="1" applyAlignment="1">
      <alignment horizontal="center" vertical="center"/>
    </xf>
    <xf numFmtId="164" fontId="8" fillId="3" borderId="2" xfId="0" applyNumberFormat="1" applyFont="1" applyFill="1" applyBorder="1" applyAlignment="1" applyProtection="1">
      <alignment horizontal="center" vertical="center"/>
      <protection locked="0"/>
    </xf>
    <xf numFmtId="166" fontId="8" fillId="3" borderId="2" xfId="0" applyNumberFormat="1" applyFont="1" applyFill="1" applyBorder="1" applyAlignment="1">
      <alignment horizontal="center" vertical="center"/>
    </xf>
    <xf numFmtId="0" fontId="0" fillId="3" borderId="2" xfId="0" applyFill="1" applyBorder="1" applyAlignment="1">
      <alignment horizontal="left" vertical="center" wrapText="1"/>
    </xf>
    <xf numFmtId="0" fontId="0" fillId="3" borderId="2" xfId="0" applyFill="1" applyBorder="1" applyAlignment="1">
      <alignment wrapText="1"/>
    </xf>
    <xf numFmtId="1" fontId="0" fillId="3" borderId="2" xfId="0" applyNumberFormat="1" applyFill="1" applyBorder="1" applyAlignment="1">
      <alignment horizontal="center" vertical="center"/>
    </xf>
    <xf numFmtId="164" fontId="3" fillId="3" borderId="5"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0" fontId="3" fillId="0" borderId="2" xfId="0" applyFont="1" applyBorder="1" applyAlignment="1">
      <alignment horizontal="left" vertical="center" wrapText="1"/>
    </xf>
    <xf numFmtId="165" fontId="3" fillId="0" borderId="3" xfId="0" applyNumberFormat="1" applyFont="1" applyBorder="1" applyAlignment="1" applyProtection="1">
      <alignment horizontal="right" vertical="center"/>
      <protection locked="0"/>
    </xf>
    <xf numFmtId="165" fontId="3" fillId="0" borderId="2" xfId="0" applyNumberFormat="1" applyFont="1" applyBorder="1" applyAlignment="1">
      <alignment horizontal="right" vertical="center"/>
    </xf>
    <xf numFmtId="0" fontId="14" fillId="0" borderId="3" xfId="0" applyFont="1" applyBorder="1" applyAlignment="1">
      <alignment horizontal="center" vertical="center"/>
    </xf>
    <xf numFmtId="165" fontId="3" fillId="0" borderId="2" xfId="0" applyNumberFormat="1" applyFont="1" applyBorder="1" applyAlignment="1" applyProtection="1">
      <alignment horizontal="right" vertical="center"/>
      <protection locked="0"/>
    </xf>
    <xf numFmtId="166" fontId="5" fillId="0" borderId="2" xfId="0" applyNumberFormat="1" applyFont="1" applyBorder="1" applyAlignment="1">
      <alignment horizontal="right" vertical="center"/>
    </xf>
    <xf numFmtId="0" fontId="14" fillId="0" borderId="2" xfId="0" applyFont="1" applyBorder="1" applyAlignment="1">
      <alignment horizontal="center" vertical="center"/>
    </xf>
    <xf numFmtId="1" fontId="15" fillId="0" borderId="2" xfId="0" applyNumberFormat="1" applyFont="1" applyBorder="1" applyAlignment="1">
      <alignment horizontal="center" vertical="center"/>
    </xf>
    <xf numFmtId="0" fontId="8" fillId="0" borderId="2" xfId="0" applyFont="1" applyBorder="1" applyAlignment="1">
      <alignment horizontal="left" vertical="center" wrapText="1"/>
    </xf>
    <xf numFmtId="1" fontId="8" fillId="0" borderId="2" xfId="0" applyNumberFormat="1" applyFont="1" applyBorder="1" applyAlignment="1">
      <alignment horizontal="center" vertical="center"/>
    </xf>
    <xf numFmtId="164" fontId="8" fillId="0" borderId="1" xfId="0" applyNumberFormat="1" applyFont="1" applyBorder="1" applyAlignment="1">
      <alignment horizontal="right" vertical="center"/>
    </xf>
    <xf numFmtId="166" fontId="8" fillId="0" borderId="2" xfId="0" applyNumberFormat="1" applyFont="1" applyBorder="1" applyAlignment="1">
      <alignment horizontal="right" vertical="center"/>
    </xf>
    <xf numFmtId="164" fontId="8" fillId="0" borderId="2" xfId="0" applyNumberFormat="1" applyFont="1" applyBorder="1" applyAlignment="1">
      <alignment horizontal="right" vertical="center"/>
    </xf>
    <xf numFmtId="0" fontId="8" fillId="0" borderId="0" xfId="0" applyFont="1"/>
    <xf numFmtId="164" fontId="3" fillId="0" borderId="2" xfId="0" applyNumberFormat="1" applyFont="1" applyBorder="1" applyAlignment="1" applyProtection="1">
      <alignment horizontal="right" vertical="center"/>
      <protection locked="0"/>
    </xf>
    <xf numFmtId="164" fontId="0" fillId="3" borderId="2" xfId="0" applyNumberFormat="1" applyFill="1" applyBorder="1" applyAlignment="1">
      <alignment horizontal="right" vertical="center"/>
    </xf>
    <xf numFmtId="0" fontId="3" fillId="0" borderId="2" xfId="0" applyFont="1" applyBorder="1" applyAlignment="1">
      <alignment vertical="center" wrapText="1"/>
    </xf>
    <xf numFmtId="0" fontId="3" fillId="0" borderId="2" xfId="0" applyFont="1" applyBorder="1" applyAlignment="1" applyProtection="1">
      <alignment horizontal="justify" vertical="center" wrapText="1"/>
      <protection hidden="1"/>
    </xf>
    <xf numFmtId="0" fontId="3" fillId="0" borderId="2" xfId="0" applyFont="1" applyBorder="1" applyAlignment="1" applyProtection="1">
      <alignment vertical="center" wrapText="1"/>
      <protection hidden="1"/>
    </xf>
    <xf numFmtId="165" fontId="3" fillId="0" borderId="1" xfId="0" applyNumberFormat="1" applyFont="1" applyBorder="1" applyAlignment="1" applyProtection="1">
      <alignment horizontal="right" vertical="center"/>
      <protection locked="0"/>
    </xf>
    <xf numFmtId="1" fontId="16" fillId="3"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166" fontId="0" fillId="3" borderId="2" xfId="0" applyNumberFormat="1" applyFill="1" applyBorder="1" applyAlignment="1">
      <alignment horizontal="right" vertical="center"/>
    </xf>
    <xf numFmtId="164" fontId="3" fillId="3" borderId="4" xfId="0" applyNumberFormat="1" applyFont="1" applyFill="1" applyBorder="1" applyAlignment="1" applyProtection="1">
      <alignment horizontal="right" vertical="center"/>
      <protection locked="0"/>
    </xf>
    <xf numFmtId="0" fontId="7" fillId="3" borderId="2" xfId="0" applyFont="1" applyFill="1" applyBorder="1" applyAlignment="1" applyProtection="1">
      <alignment horizontal="justify" vertical="center" wrapText="1"/>
      <protection hidden="1"/>
    </xf>
    <xf numFmtId="0" fontId="0" fillId="3" borderId="2" xfId="0" applyFill="1" applyBorder="1" applyAlignment="1" applyProtection="1">
      <alignment horizontal="justify" vertical="center" wrapText="1"/>
      <protection hidden="1"/>
    </xf>
    <xf numFmtId="0" fontId="0" fillId="3" borderId="0" xfId="0" applyFill="1" applyAlignment="1">
      <alignment wrapText="1"/>
    </xf>
    <xf numFmtId="164" fontId="3" fillId="2" borderId="4" xfId="0" applyNumberFormat="1" applyFont="1" applyFill="1" applyBorder="1"/>
    <xf numFmtId="165" fontId="3" fillId="2" borderId="4" xfId="0" applyNumberFormat="1" applyFont="1" applyFill="1" applyBorder="1"/>
    <xf numFmtId="166" fontId="0" fillId="2" borderId="2" xfId="0" applyNumberFormat="1" applyFill="1" applyBorder="1" applyAlignment="1">
      <alignment horizontal="right" vertical="center"/>
    </xf>
    <xf numFmtId="164" fontId="0" fillId="2" borderId="4" xfId="0" applyNumberFormat="1" applyFill="1" applyBorder="1" applyAlignment="1" applyProtection="1">
      <alignment horizontal="right" vertical="center"/>
      <protection locked="0"/>
    </xf>
    <xf numFmtId="164" fontId="0" fillId="0" borderId="2" xfId="0" applyNumberFormat="1" applyBorder="1" applyAlignment="1">
      <alignment horizontal="right" vertical="center"/>
    </xf>
    <xf numFmtId="0" fontId="7" fillId="3" borderId="2" xfId="0" applyFont="1" applyFill="1" applyBorder="1" applyAlignment="1">
      <alignment vertical="center" wrapText="1"/>
    </xf>
    <xf numFmtId="166" fontId="0" fillId="3" borderId="2" xfId="0" applyNumberFormat="1" applyFont="1" applyFill="1" applyBorder="1" applyAlignment="1">
      <alignment horizontal="center" vertical="center"/>
    </xf>
    <xf numFmtId="0" fontId="8" fillId="3" borderId="2" xfId="0" applyFont="1" applyFill="1" applyBorder="1" applyAlignment="1">
      <alignment horizontal="left" vertical="center" wrapText="1"/>
    </xf>
    <xf numFmtId="164" fontId="0" fillId="3" borderId="2" xfId="0" applyNumberFormat="1" applyFont="1" applyFill="1" applyBorder="1" applyAlignment="1" applyProtection="1">
      <alignment horizontal="center" vertical="center"/>
      <protection locked="0"/>
    </xf>
    <xf numFmtId="166" fontId="5" fillId="3" borderId="2" xfId="0" applyNumberFormat="1" applyFont="1" applyFill="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3" fillId="3" borderId="2" xfId="0" applyFont="1" applyFill="1" applyBorder="1" applyAlignment="1">
      <alignment vertical="center" wrapText="1"/>
    </xf>
    <xf numFmtId="165" fontId="3" fillId="2" borderId="2" xfId="0" applyNumberFormat="1" applyFont="1" applyFill="1" applyBorder="1" applyAlignment="1" applyProtection="1">
      <alignment horizontal="right" vertical="center"/>
      <protection locked="0"/>
    </xf>
    <xf numFmtId="165" fontId="8" fillId="3" borderId="2" xfId="0" applyNumberFormat="1" applyFont="1" applyFill="1" applyBorder="1" applyAlignment="1">
      <alignment horizontal="right" vertical="center"/>
    </xf>
    <xf numFmtId="164" fontId="3" fillId="3" borderId="1" xfId="0" applyNumberFormat="1" applyFont="1" applyFill="1" applyBorder="1" applyAlignment="1" applyProtection="1">
      <alignment horizontal="center" vertical="center"/>
      <protection locked="0"/>
    </xf>
    <xf numFmtId="165" fontId="0" fillId="3" borderId="2" xfId="0" applyNumberFormat="1" applyFill="1" applyBorder="1" applyAlignment="1">
      <alignment horizontal="center" vertical="center"/>
    </xf>
    <xf numFmtId="165" fontId="3" fillId="3" borderId="2" xfId="0" applyNumberFormat="1" applyFont="1" applyFill="1" applyBorder="1" applyAlignment="1">
      <alignment horizontal="center" vertical="center"/>
    </xf>
    <xf numFmtId="1" fontId="12" fillId="3" borderId="2" xfId="0" applyNumberFormat="1" applyFont="1" applyFill="1" applyBorder="1" applyAlignment="1">
      <alignment horizontal="center" vertical="center"/>
    </xf>
    <xf numFmtId="164" fontId="12" fillId="0" borderId="0" xfId="0" applyNumberFormat="1" applyFont="1"/>
    <xf numFmtId="164" fontId="7" fillId="3" borderId="2" xfId="0" applyNumberFormat="1" applyFont="1" applyFill="1" applyBorder="1" applyAlignment="1" applyProtection="1">
      <alignment horizontal="center" vertical="center"/>
      <protection locked="0"/>
    </xf>
    <xf numFmtId="1" fontId="2" fillId="3" borderId="2" xfId="0" applyNumberFormat="1" applyFont="1" applyFill="1" applyBorder="1" applyAlignment="1">
      <alignment horizontal="center" vertical="center"/>
    </xf>
    <xf numFmtId="0" fontId="2" fillId="0" borderId="0" xfId="0" applyFont="1"/>
    <xf numFmtId="0" fontId="2" fillId="3" borderId="2" xfId="0" applyFont="1" applyFill="1" applyBorder="1" applyAlignment="1">
      <alignment horizontal="left" vertical="center" wrapText="1"/>
    </xf>
    <xf numFmtId="165" fontId="3" fillId="0" borderId="3" xfId="0" applyNumberFormat="1" applyFont="1" applyBorder="1" applyAlignment="1">
      <alignment horizontal="right" vertical="center"/>
    </xf>
    <xf numFmtId="164" fontId="0" fillId="3" borderId="3" xfId="0" applyNumberFormat="1" applyFont="1" applyFill="1" applyBorder="1" applyAlignment="1">
      <alignment horizontal="center" vertical="center"/>
    </xf>
    <xf numFmtId="164" fontId="3" fillId="2" borderId="1" xfId="0" applyNumberFormat="1" applyFont="1" applyFill="1" applyBorder="1" applyAlignment="1" applyProtection="1">
      <alignment horizontal="right" vertical="center"/>
      <protection locked="0"/>
    </xf>
    <xf numFmtId="164" fontId="3" fillId="3" borderId="1" xfId="0" applyNumberFormat="1" applyFont="1" applyFill="1" applyBorder="1" applyAlignment="1" applyProtection="1">
      <alignment horizontal="right" vertical="center"/>
      <protection locked="0"/>
    </xf>
    <xf numFmtId="166" fontId="5" fillId="3" borderId="2" xfId="0" applyNumberFormat="1" applyFont="1" applyFill="1" applyBorder="1" applyAlignment="1">
      <alignment horizontal="right" vertical="center"/>
    </xf>
    <xf numFmtId="165" fontId="3" fillId="2" borderId="1" xfId="0" applyNumberFormat="1" applyFont="1" applyFill="1" applyBorder="1" applyAlignment="1" applyProtection="1">
      <alignment horizontal="right" vertical="center"/>
      <protection locked="0"/>
    </xf>
    <xf numFmtId="165" fontId="3" fillId="3" borderId="2" xfId="0" applyNumberFormat="1" applyFont="1" applyFill="1" applyBorder="1" applyAlignment="1">
      <alignment horizontal="right" vertical="center"/>
    </xf>
    <xf numFmtId="49" fontId="7" fillId="3" borderId="2"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164" fontId="0" fillId="3" borderId="0" xfId="0" applyNumberFormat="1" applyFont="1" applyFill="1" applyAlignment="1">
      <alignment horizontal="center" vertical="center"/>
    </xf>
    <xf numFmtId="1" fontId="0" fillId="3" borderId="2" xfId="0" applyNumberFormat="1" applyFont="1" applyFill="1" applyBorder="1" applyAlignment="1">
      <alignment horizontal="center" vertical="center"/>
    </xf>
    <xf numFmtId="49" fontId="3" fillId="0" borderId="2" xfId="0" applyNumberFormat="1" applyFont="1" applyBorder="1" applyAlignment="1">
      <alignment horizontal="left" vertical="center" wrapText="1"/>
    </xf>
    <xf numFmtId="1" fontId="3" fillId="0" borderId="3" xfId="0" applyNumberFormat="1" applyFont="1" applyBorder="1" applyAlignment="1">
      <alignment horizontal="center" vertical="center"/>
    </xf>
    <xf numFmtId="0" fontId="2" fillId="3" borderId="2" xfId="0" applyFont="1" applyFill="1" applyBorder="1" applyAlignment="1" applyProtection="1">
      <alignment horizontal="left" vertical="center" wrapText="1"/>
      <protection hidden="1"/>
    </xf>
    <xf numFmtId="0" fontId="2" fillId="3" borderId="2" xfId="0" applyFont="1" applyFill="1" applyBorder="1" applyAlignment="1">
      <alignment vertical="center" wrapText="1"/>
    </xf>
    <xf numFmtId="165" fontId="7" fillId="0" borderId="3" xfId="0" applyNumberFormat="1" applyFont="1" applyBorder="1" applyAlignment="1" applyProtection="1">
      <alignment horizontal="right" vertical="center"/>
      <protection locked="0"/>
    </xf>
    <xf numFmtId="166" fontId="12" fillId="0" borderId="2" xfId="0" applyNumberFormat="1" applyFont="1" applyBorder="1" applyAlignment="1">
      <alignment horizontal="right" vertical="center"/>
    </xf>
    <xf numFmtId="164" fontId="3" fillId="0" borderId="4" xfId="0" applyNumberFormat="1" applyFont="1" applyBorder="1"/>
    <xf numFmtId="164" fontId="3" fillId="3" borderId="4" xfId="0" applyNumberFormat="1" applyFont="1" applyFill="1" applyBorder="1"/>
    <xf numFmtId="166" fontId="7" fillId="3" borderId="2" xfId="0" applyNumberFormat="1" applyFont="1" applyFill="1" applyBorder="1" applyAlignment="1">
      <alignment horizontal="right" vertical="center"/>
    </xf>
    <xf numFmtId="166" fontId="18" fillId="3" borderId="2" xfId="0" applyNumberFormat="1" applyFont="1" applyFill="1" applyBorder="1" applyAlignment="1">
      <alignment horizontal="right" vertical="center"/>
    </xf>
    <xf numFmtId="164" fontId="0" fillId="3" borderId="1" xfId="0" applyNumberFormat="1" applyFill="1" applyBorder="1" applyAlignment="1" applyProtection="1">
      <alignment horizontal="right" vertical="center"/>
      <protection locked="0"/>
    </xf>
    <xf numFmtId="49" fontId="0" fillId="3" borderId="2"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165" fontId="3" fillId="0" borderId="4" xfId="0" applyNumberFormat="1" applyFont="1" applyBorder="1" applyAlignment="1" applyProtection="1">
      <alignment horizontal="right" vertical="center"/>
      <protection locked="0"/>
    </xf>
    <xf numFmtId="49" fontId="7" fillId="3" borderId="2" xfId="0" applyNumberFormat="1" applyFont="1" applyFill="1" applyBorder="1" applyAlignment="1" applyProtection="1">
      <alignment horizontal="left" vertical="center" wrapText="1"/>
      <protection hidden="1"/>
    </xf>
    <xf numFmtId="1" fontId="7" fillId="3" borderId="2" xfId="0" applyNumberFormat="1" applyFont="1" applyFill="1" applyBorder="1" applyAlignment="1" applyProtection="1">
      <alignment horizontal="center" vertical="center"/>
      <protection hidden="1"/>
    </xf>
    <xf numFmtId="165" fontId="19" fillId="0" borderId="0" xfId="0" applyNumberFormat="1" applyFont="1"/>
    <xf numFmtId="164" fontId="2" fillId="0" borderId="0" xfId="0" applyNumberFormat="1" applyFont="1"/>
    <xf numFmtId="49" fontId="2" fillId="3" borderId="2" xfId="0" applyNumberFormat="1" applyFont="1" applyFill="1" applyBorder="1" applyAlignment="1" applyProtection="1">
      <alignment vertical="center" wrapText="1"/>
      <protection hidden="1"/>
    </xf>
    <xf numFmtId="1" fontId="2" fillId="3" borderId="2" xfId="0" applyNumberFormat="1" applyFont="1" applyFill="1" applyBorder="1" applyAlignment="1" applyProtection="1">
      <alignment horizontal="center" vertical="center"/>
      <protection hidden="1"/>
    </xf>
    <xf numFmtId="165" fontId="5" fillId="6" borderId="0" xfId="0" applyNumberFormat="1" applyFont="1" applyFill="1"/>
    <xf numFmtId="0" fontId="2" fillId="6" borderId="0" xfId="0" applyFont="1" applyFill="1"/>
    <xf numFmtId="0" fontId="7" fillId="6" borderId="0" xfId="0" applyFont="1" applyFill="1"/>
    <xf numFmtId="1" fontId="0" fillId="3" borderId="2" xfId="0" applyNumberFormat="1" applyFont="1" applyFill="1" applyBorder="1" applyAlignment="1" applyProtection="1">
      <alignment horizontal="center" vertical="center"/>
      <protection hidden="1"/>
    </xf>
    <xf numFmtId="49" fontId="7" fillId="3" borderId="2" xfId="0" applyNumberFormat="1" applyFont="1" applyFill="1" applyBorder="1" applyAlignment="1" applyProtection="1">
      <alignment vertical="center" wrapText="1"/>
      <protection hidden="1"/>
    </xf>
    <xf numFmtId="49" fontId="4" fillId="3" borderId="2" xfId="0" applyNumberFormat="1" applyFont="1" applyFill="1" applyBorder="1" applyAlignment="1">
      <alignment horizontal="left" vertical="center" wrapText="1"/>
    </xf>
    <xf numFmtId="1" fontId="4" fillId="3" borderId="2" xfId="0" applyNumberFormat="1" applyFont="1" applyFill="1" applyBorder="1" applyAlignment="1">
      <alignment horizontal="center" vertical="center"/>
    </xf>
    <xf numFmtId="166" fontId="4" fillId="3" borderId="2" xfId="0" applyNumberFormat="1" applyFont="1" applyFill="1" applyBorder="1" applyAlignment="1">
      <alignment horizontal="center" vertical="center"/>
    </xf>
    <xf numFmtId="0" fontId="5" fillId="0" borderId="0" xfId="0" applyFont="1"/>
    <xf numFmtId="49" fontId="3" fillId="3" borderId="2" xfId="0" applyNumberFormat="1" applyFont="1" applyFill="1" applyBorder="1" applyAlignment="1" applyProtection="1">
      <alignment horizontal="left" vertical="center" wrapText="1"/>
      <protection hidden="1"/>
    </xf>
    <xf numFmtId="49" fontId="4" fillId="3" borderId="2" xfId="0" applyNumberFormat="1" applyFont="1" applyFill="1" applyBorder="1" applyAlignment="1" applyProtection="1">
      <alignment horizontal="left" vertical="center" wrapText="1"/>
      <protection hidden="1"/>
    </xf>
    <xf numFmtId="164" fontId="3" fillId="3" borderId="2" xfId="0" applyNumberFormat="1" applyFont="1" applyFill="1" applyBorder="1" applyAlignment="1">
      <alignment horizontal="right" vertical="center"/>
    </xf>
    <xf numFmtId="165" fontId="3" fillId="7" borderId="2" xfId="0" applyNumberFormat="1" applyFont="1" applyFill="1" applyBorder="1" applyAlignment="1" applyProtection="1">
      <alignment horizontal="right" vertical="center"/>
      <protection locked="0"/>
    </xf>
    <xf numFmtId="165" fontId="3" fillId="8" borderId="2" xfId="0" applyNumberFormat="1" applyFont="1" applyFill="1" applyBorder="1" applyAlignment="1" applyProtection="1">
      <alignment horizontal="right" vertical="center"/>
      <protection locked="0"/>
    </xf>
    <xf numFmtId="165" fontId="3" fillId="9" borderId="2" xfId="0" applyNumberFormat="1" applyFont="1" applyFill="1" applyBorder="1" applyAlignment="1">
      <alignment horizontal="right" vertical="center"/>
    </xf>
    <xf numFmtId="165" fontId="18" fillId="3" borderId="2" xfId="0" applyNumberFormat="1" applyFont="1" applyFill="1" applyBorder="1" applyAlignment="1">
      <alignment horizontal="right" vertical="center"/>
    </xf>
    <xf numFmtId="165" fontId="20" fillId="3" borderId="2" xfId="0" applyNumberFormat="1" applyFont="1" applyFill="1" applyBorder="1" applyAlignment="1">
      <alignment horizontal="right" vertical="center"/>
    </xf>
    <xf numFmtId="166" fontId="20" fillId="3" borderId="2" xfId="0" applyNumberFormat="1" applyFont="1" applyFill="1" applyBorder="1" applyAlignment="1">
      <alignment horizontal="right" vertical="center"/>
    </xf>
    <xf numFmtId="1" fontId="15" fillId="3" borderId="2" xfId="0" applyNumberFormat="1" applyFont="1" applyFill="1" applyBorder="1" applyAlignment="1" applyProtection="1">
      <alignment horizontal="center" vertical="center"/>
      <protection hidden="1"/>
    </xf>
    <xf numFmtId="164" fontId="3" fillId="2" borderId="4" xfId="0" applyNumberFormat="1" applyFont="1" applyFill="1" applyBorder="1" applyAlignment="1" applyProtection="1">
      <alignment horizontal="right" vertical="center"/>
      <protection locked="0"/>
    </xf>
    <xf numFmtId="166" fontId="3" fillId="2" borderId="2" xfId="0" applyNumberFormat="1" applyFont="1" applyFill="1" applyBorder="1" applyAlignment="1">
      <alignment horizontal="right" vertical="center"/>
    </xf>
    <xf numFmtId="164" fontId="7" fillId="2" borderId="4" xfId="0" applyNumberFormat="1" applyFont="1" applyFill="1" applyBorder="1" applyAlignment="1" applyProtection="1">
      <alignment horizontal="right" vertical="center"/>
      <protection locked="0"/>
    </xf>
    <xf numFmtId="164" fontId="7" fillId="3" borderId="4" xfId="0" applyNumberFormat="1" applyFont="1" applyFill="1" applyBorder="1" applyAlignment="1" applyProtection="1">
      <alignment horizontal="right" vertical="center"/>
      <protection locked="0"/>
    </xf>
    <xf numFmtId="164" fontId="3" fillId="2" borderId="2" xfId="0" applyNumberFormat="1" applyFont="1" applyFill="1" applyBorder="1" applyAlignment="1">
      <alignment horizontal="right" vertical="center"/>
    </xf>
    <xf numFmtId="0" fontId="3" fillId="2" borderId="0" xfId="0" applyFont="1" applyFill="1"/>
    <xf numFmtId="0" fontId="21" fillId="3" borderId="2" xfId="0" applyFont="1" applyFill="1" applyBorder="1" applyAlignment="1">
      <alignment horizontal="center" vertical="center" wrapText="1"/>
    </xf>
    <xf numFmtId="1" fontId="21" fillId="3" borderId="2" xfId="0" applyNumberFormat="1" applyFont="1" applyFill="1" applyBorder="1" applyAlignment="1">
      <alignment horizontal="center" vertical="center"/>
    </xf>
    <xf numFmtId="164" fontId="10" fillId="3" borderId="2" xfId="0" applyNumberFormat="1" applyFont="1" applyFill="1" applyBorder="1" applyAlignment="1">
      <alignment horizontal="center" vertical="center"/>
    </xf>
    <xf numFmtId="166" fontId="21" fillId="3" borderId="2" xfId="0" applyNumberFormat="1" applyFont="1" applyFill="1" applyBorder="1" applyAlignment="1">
      <alignment horizontal="center" vertical="center"/>
    </xf>
    <xf numFmtId="164" fontId="21" fillId="10" borderId="0" xfId="0" applyNumberFormat="1" applyFont="1" applyFill="1"/>
    <xf numFmtId="0" fontId="21" fillId="0" borderId="0" xfId="0" applyFont="1"/>
    <xf numFmtId="49" fontId="12" fillId="3" borderId="2" xfId="0" applyNumberFormat="1" applyFont="1" applyFill="1" applyBorder="1" applyAlignment="1">
      <alignment horizontal="left" vertical="center" wrapText="1"/>
    </xf>
    <xf numFmtId="0" fontId="19" fillId="0" borderId="0" xfId="0" applyFont="1"/>
    <xf numFmtId="164" fontId="3" fillId="3" borderId="3" xfId="0" applyNumberFormat="1" applyFont="1" applyFill="1" applyBorder="1" applyAlignment="1" applyProtection="1">
      <alignment horizontal="right" vertical="center"/>
      <protection locked="0"/>
    </xf>
    <xf numFmtId="164" fontId="3" fillId="2" borderId="3" xfId="0" applyNumberFormat="1" applyFont="1" applyFill="1" applyBorder="1" applyAlignment="1" applyProtection="1">
      <alignment horizontal="right" vertical="center"/>
      <protection locked="0"/>
    </xf>
    <xf numFmtId="164" fontId="3" fillId="0" borderId="0" xfId="0" applyNumberFormat="1" applyFont="1"/>
    <xf numFmtId="0" fontId="3" fillId="0" borderId="2" xfId="0" applyFont="1" applyBorder="1" applyAlignment="1">
      <alignment wrapText="1"/>
    </xf>
    <xf numFmtId="164" fontId="3" fillId="0" borderId="3" xfId="0" applyNumberFormat="1" applyFont="1" applyBorder="1" applyAlignment="1" applyProtection="1">
      <alignment horizontal="right" vertical="center"/>
      <protection locked="0"/>
    </xf>
    <xf numFmtId="165" fontId="3" fillId="3" borderId="2" xfId="0" applyNumberFormat="1" applyFont="1" applyFill="1" applyBorder="1" applyAlignment="1" applyProtection="1">
      <alignment horizontal="right" vertical="center"/>
      <protection locked="0"/>
    </xf>
    <xf numFmtId="0" fontId="3" fillId="0" borderId="2" xfId="0" applyFont="1" applyBorder="1" applyAlignment="1">
      <alignment horizontal="center" vertical="center"/>
    </xf>
    <xf numFmtId="164" fontId="3" fillId="2" borderId="2" xfId="0" applyNumberFormat="1" applyFont="1" applyFill="1" applyBorder="1" applyAlignment="1">
      <alignment horizontal="center" vertical="center"/>
    </xf>
    <xf numFmtId="164" fontId="3" fillId="2" borderId="2" xfId="0" applyNumberFormat="1" applyFont="1" applyFill="1" applyBorder="1" applyAlignment="1">
      <alignment vertical="center"/>
    </xf>
    <xf numFmtId="0" fontId="0" fillId="0" borderId="2" xfId="0" applyBorder="1" applyAlignment="1">
      <alignment horizontal="center" vertical="center"/>
    </xf>
    <xf numFmtId="165" fontId="0" fillId="2" borderId="2" xfId="0" applyNumberFormat="1" applyFill="1" applyBorder="1" applyAlignment="1">
      <alignment horizontal="right" vertical="center"/>
    </xf>
    <xf numFmtId="0" fontId="3" fillId="2" borderId="2" xfId="0" applyFont="1" applyFill="1" applyBorder="1" applyAlignment="1">
      <alignment horizontal="right" vertical="center"/>
    </xf>
    <xf numFmtId="0" fontId="0" fillId="2" borderId="2" xfId="0" applyFill="1" applyBorder="1" applyAlignment="1">
      <alignment vertical="center"/>
    </xf>
    <xf numFmtId="164" fontId="3" fillId="0" borderId="2" xfId="0" applyNumberFormat="1" applyFont="1" applyBorder="1" applyAlignment="1">
      <alignment horizontal="center" vertical="center"/>
    </xf>
    <xf numFmtId="164" fontId="3" fillId="0" borderId="2" xfId="0" applyNumberFormat="1" applyFont="1" applyBorder="1" applyAlignment="1">
      <alignment vertical="center"/>
    </xf>
    <xf numFmtId="0" fontId="3" fillId="3" borderId="2" xfId="0" applyFont="1" applyFill="1" applyBorder="1" applyAlignment="1">
      <alignment wrapText="1"/>
    </xf>
    <xf numFmtId="0" fontId="22" fillId="3" borderId="2" xfId="0" applyFont="1" applyFill="1" applyBorder="1" applyAlignment="1">
      <alignment horizontal="center" vertical="center"/>
    </xf>
    <xf numFmtId="164" fontId="3" fillId="3" borderId="1" xfId="0" applyNumberFormat="1" applyFont="1" applyFill="1" applyBorder="1" applyAlignment="1">
      <alignment horizontal="center" vertical="center"/>
    </xf>
    <xf numFmtId="0" fontId="0" fillId="0" borderId="2" xfId="0" applyBorder="1" applyAlignment="1">
      <alignment wrapText="1"/>
    </xf>
    <xf numFmtId="165" fontId="0" fillId="0" borderId="1" xfId="0" applyNumberFormat="1" applyBorder="1" applyAlignment="1">
      <alignment horizontal="right" vertical="center"/>
    </xf>
    <xf numFmtId="165" fontId="3" fillId="0" borderId="1" xfId="0" applyNumberFormat="1" applyFont="1" applyBorder="1" applyAlignment="1">
      <alignment horizontal="right" vertical="center"/>
    </xf>
    <xf numFmtId="0" fontId="3" fillId="3" borderId="2" xfId="0" applyFont="1" applyFill="1" applyBorder="1" applyAlignment="1">
      <alignment horizontal="center" vertical="center"/>
    </xf>
    <xf numFmtId="164" fontId="3" fillId="0" borderId="1" xfId="0" applyNumberFormat="1" applyFont="1" applyBorder="1" applyAlignment="1">
      <alignment vertical="center"/>
    </xf>
    <xf numFmtId="164" fontId="3" fillId="3" borderId="1" xfId="0" applyNumberFormat="1" applyFont="1" applyFill="1" applyBorder="1" applyAlignment="1">
      <alignment vertical="center"/>
    </xf>
    <xf numFmtId="164" fontId="3" fillId="3" borderId="2" xfId="0" applyNumberFormat="1" applyFont="1" applyFill="1" applyBorder="1" applyAlignment="1">
      <alignment vertical="center"/>
    </xf>
    <xf numFmtId="164" fontId="3" fillId="0" borderId="3" xfId="0" applyNumberFormat="1" applyFont="1" applyBorder="1" applyAlignment="1">
      <alignment vertical="center"/>
    </xf>
    <xf numFmtId="164" fontId="3" fillId="2" borderId="4" xfId="0" applyNumberFormat="1" applyFont="1" applyFill="1" applyBorder="1" applyAlignment="1">
      <alignment horizontal="right" vertical="center"/>
    </xf>
    <xf numFmtId="164" fontId="3" fillId="3" borderId="4" xfId="0" applyNumberFormat="1" applyFont="1" applyFill="1" applyBorder="1" applyAlignment="1">
      <alignment horizontal="right" vertical="center"/>
    </xf>
    <xf numFmtId="164" fontId="3" fillId="2" borderId="4" xfId="0" applyNumberFormat="1" applyFont="1" applyFill="1" applyBorder="1" applyAlignment="1">
      <alignment vertical="center"/>
    </xf>
    <xf numFmtId="0" fontId="7" fillId="3" borderId="2" xfId="0" applyFont="1" applyFill="1" applyBorder="1" applyAlignment="1">
      <alignment wrapText="1"/>
    </xf>
    <xf numFmtId="0" fontId="7" fillId="3" borderId="2" xfId="0" applyFont="1" applyFill="1" applyBorder="1" applyAlignment="1">
      <alignment horizontal="center" vertical="center"/>
    </xf>
    <xf numFmtId="164" fontId="3" fillId="3" borderId="3" xfId="0" applyNumberFormat="1" applyFont="1" applyFill="1" applyBorder="1" applyAlignment="1">
      <alignment horizontal="right" vertical="center"/>
    </xf>
    <xf numFmtId="164" fontId="3" fillId="3" borderId="3" xfId="0" applyNumberFormat="1" applyFont="1" applyFill="1" applyBorder="1" applyAlignment="1">
      <alignment vertical="center"/>
    </xf>
    <xf numFmtId="164" fontId="0" fillId="0" borderId="2" xfId="0" applyNumberFormat="1" applyFont="1" applyBorder="1" applyAlignment="1">
      <alignment horizontal="right" vertical="center"/>
    </xf>
    <xf numFmtId="166" fontId="0" fillId="0" borderId="2" xfId="0" applyNumberFormat="1" applyFont="1" applyBorder="1" applyAlignment="1">
      <alignment horizontal="right" vertical="center"/>
    </xf>
    <xf numFmtId="0" fontId="3" fillId="3" borderId="5" xfId="0" applyFont="1" applyFill="1" applyBorder="1" applyAlignment="1">
      <alignment horizontal="center" vertical="center"/>
    </xf>
    <xf numFmtId="0" fontId="3" fillId="0" borderId="2" xfId="0" applyFont="1" applyBorder="1"/>
    <xf numFmtId="164" fontId="3" fillId="3" borderId="4" xfId="0" applyNumberFormat="1" applyFont="1" applyFill="1" applyBorder="1" applyAlignment="1">
      <alignment horizontal="center" vertical="center"/>
    </xf>
    <xf numFmtId="164" fontId="3" fillId="2" borderId="3" xfId="0" applyNumberFormat="1" applyFont="1" applyFill="1" applyBorder="1" applyAlignment="1">
      <alignment vertical="center"/>
    </xf>
    <xf numFmtId="164" fontId="3" fillId="2" borderId="3" xfId="0" applyNumberFormat="1" applyFont="1" applyFill="1" applyBorder="1" applyAlignment="1">
      <alignment horizontal="right" vertical="center"/>
    </xf>
    <xf numFmtId="166" fontId="18" fillId="0" borderId="2" xfId="0" applyNumberFormat="1" applyFont="1" applyBorder="1" applyAlignment="1">
      <alignment horizontal="right" vertical="center"/>
    </xf>
    <xf numFmtId="0" fontId="3" fillId="2" borderId="2" xfId="0" applyFont="1" applyFill="1" applyBorder="1"/>
    <xf numFmtId="166" fontId="3" fillId="2" borderId="7" xfId="0" applyNumberFormat="1" applyFont="1" applyFill="1" applyBorder="1" applyAlignment="1">
      <alignment horizontal="right" vertical="center"/>
    </xf>
    <xf numFmtId="165" fontId="3" fillId="0" borderId="2" xfId="0" applyNumberFormat="1" applyFont="1" applyBorder="1" applyAlignment="1">
      <alignment vertical="center"/>
    </xf>
    <xf numFmtId="164" fontId="3" fillId="3" borderId="1" xfId="0" applyNumberFormat="1" applyFont="1" applyFill="1" applyBorder="1" applyAlignment="1">
      <alignment horizontal="right" vertical="center"/>
    </xf>
    <xf numFmtId="165" fontId="3" fillId="2" borderId="1" xfId="0" applyNumberFormat="1" applyFont="1" applyFill="1" applyBorder="1"/>
    <xf numFmtId="0" fontId="3" fillId="0" borderId="1" xfId="0" applyFont="1" applyBorder="1"/>
    <xf numFmtId="0" fontId="3" fillId="2" borderId="1" xfId="0" applyFont="1" applyFill="1" applyBorder="1"/>
    <xf numFmtId="164" fontId="3" fillId="2" borderId="1" xfId="0" applyNumberFormat="1" applyFont="1" applyFill="1" applyBorder="1" applyAlignment="1">
      <alignment horizontal="right" vertical="center"/>
    </xf>
    <xf numFmtId="164" fontId="3" fillId="0" borderId="3" xfId="0" applyNumberFormat="1" applyFont="1" applyBorder="1" applyAlignment="1">
      <alignment horizontal="right" vertical="center"/>
    </xf>
    <xf numFmtId="0" fontId="3" fillId="11" borderId="0" xfId="0" applyFont="1" applyFill="1"/>
    <xf numFmtId="0" fontId="3" fillId="0" borderId="2" xfId="0" applyFont="1" applyBorder="1" applyAlignment="1">
      <alignment horizontal="right" vertical="center"/>
    </xf>
    <xf numFmtId="0" fontId="0" fillId="0" borderId="2" xfId="0" applyBorder="1" applyAlignment="1">
      <alignment vertical="center"/>
    </xf>
    <xf numFmtId="164" fontId="0" fillId="0" borderId="2" xfId="0" applyNumberFormat="1" applyBorder="1" applyAlignment="1">
      <alignment vertical="center"/>
    </xf>
    <xf numFmtId="0" fontId="3" fillId="0" borderId="2" xfId="0" applyFont="1" applyBorder="1" applyAlignment="1">
      <alignment vertical="center"/>
    </xf>
    <xf numFmtId="166" fontId="8" fillId="2" borderId="2" xfId="0" applyNumberFormat="1" applyFont="1" applyFill="1" applyBorder="1" applyAlignment="1">
      <alignment horizontal="right" vertical="center"/>
    </xf>
    <xf numFmtId="164" fontId="0" fillId="12" borderId="2" xfId="0" applyNumberFormat="1" applyFill="1" applyBorder="1" applyAlignment="1">
      <alignment horizontal="right" vertical="center"/>
    </xf>
    <xf numFmtId="166" fontId="12" fillId="12" borderId="2" xfId="0" applyNumberFormat="1" applyFont="1" applyFill="1" applyBorder="1" applyAlignment="1">
      <alignment horizontal="right" vertical="center"/>
    </xf>
    <xf numFmtId="164" fontId="0" fillId="2" borderId="2" xfId="0" applyNumberFormat="1" applyFill="1" applyBorder="1" applyAlignment="1">
      <alignment horizontal="right" vertical="center"/>
    </xf>
    <xf numFmtId="166" fontId="12" fillId="2" borderId="2" xfId="0" applyNumberFormat="1" applyFont="1" applyFill="1" applyBorder="1" applyAlignment="1">
      <alignment horizontal="right" vertical="center"/>
    </xf>
    <xf numFmtId="164" fontId="0" fillId="2" borderId="2" xfId="0" applyNumberFormat="1" applyFill="1" applyBorder="1" applyAlignment="1">
      <alignment vertical="center"/>
    </xf>
    <xf numFmtId="166" fontId="5" fillId="2" borderId="2" xfId="0" applyNumberFormat="1" applyFont="1" applyFill="1" applyBorder="1" applyAlignment="1">
      <alignment horizontal="right" vertical="center"/>
    </xf>
    <xf numFmtId="165" fontId="3" fillId="2" borderId="2" xfId="0" applyNumberFormat="1" applyFont="1" applyFill="1" applyBorder="1" applyAlignment="1">
      <alignment horizontal="right" vertical="center"/>
    </xf>
    <xf numFmtId="0" fontId="0" fillId="2" borderId="2" xfId="0" applyFill="1" applyBorder="1" applyAlignment="1">
      <alignment wrapText="1"/>
    </xf>
    <xf numFmtId="0" fontId="0" fillId="3" borderId="2" xfId="0" applyFill="1" applyBorder="1" applyAlignment="1">
      <alignment horizontal="center" vertical="center"/>
    </xf>
    <xf numFmtId="166" fontId="12" fillId="3" borderId="2" xfId="0" applyNumberFormat="1" applyFont="1" applyFill="1" applyBorder="1" applyAlignment="1">
      <alignment horizontal="right" vertical="center"/>
    </xf>
    <xf numFmtId="164" fontId="0" fillId="3" borderId="2" xfId="0" applyNumberFormat="1" applyFill="1" applyBorder="1" applyAlignment="1">
      <alignment vertical="center"/>
    </xf>
    <xf numFmtId="0" fontId="0" fillId="3" borderId="2" xfId="0" applyFill="1" applyBorder="1" applyAlignment="1">
      <alignment vertical="center" wrapText="1"/>
    </xf>
    <xf numFmtId="166" fontId="19" fillId="3" borderId="2" xfId="0" applyNumberFormat="1" applyFont="1" applyFill="1" applyBorder="1" applyAlignment="1">
      <alignment horizontal="right" vertical="center"/>
    </xf>
    <xf numFmtId="164" fontId="0" fillId="3" borderId="1" xfId="0" applyNumberFormat="1" applyFill="1" applyBorder="1" applyAlignment="1">
      <alignment horizontal="right" vertical="center"/>
    </xf>
    <xf numFmtId="164" fontId="0" fillId="3" borderId="1" xfId="0" applyNumberFormat="1" applyFill="1" applyBorder="1" applyAlignment="1">
      <alignment vertical="center"/>
    </xf>
    <xf numFmtId="164" fontId="0" fillId="2" borderId="1" xfId="0" applyNumberFormat="1" applyFill="1" applyBorder="1" applyAlignment="1">
      <alignment horizontal="right" vertical="center"/>
    </xf>
    <xf numFmtId="164" fontId="0" fillId="2" borderId="1" xfId="0" applyNumberFormat="1" applyFill="1" applyBorder="1" applyAlignment="1">
      <alignment vertical="center"/>
    </xf>
    <xf numFmtId="0" fontId="10" fillId="3" borderId="2" xfId="0" applyFont="1" applyFill="1" applyBorder="1" applyAlignment="1">
      <alignment horizontal="center" vertical="center" wrapText="1"/>
    </xf>
    <xf numFmtId="1" fontId="10" fillId="3" borderId="2"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4" fontId="9" fillId="0" borderId="0" xfId="0" applyNumberFormat="1" applyFont="1"/>
    <xf numFmtId="0" fontId="9" fillId="0" borderId="0" xfId="0" applyFont="1"/>
    <xf numFmtId="0" fontId="11" fillId="3" borderId="2" xfId="0" applyFont="1" applyFill="1" applyBorder="1" applyAlignment="1">
      <alignment horizontal="center" vertical="center" wrapText="1"/>
    </xf>
    <xf numFmtId="168" fontId="3" fillId="3" borderId="2" xfId="0" applyNumberFormat="1" applyFont="1" applyFill="1" applyBorder="1" applyAlignment="1">
      <alignment horizontal="right" vertical="center"/>
    </xf>
    <xf numFmtId="49" fontId="23" fillId="3" borderId="2" xfId="0" applyNumberFormat="1" applyFont="1" applyFill="1" applyBorder="1" applyAlignment="1">
      <alignment horizontal="center" vertical="center"/>
    </xf>
    <xf numFmtId="0" fontId="5" fillId="0" borderId="2" xfId="0" applyFont="1" applyBorder="1" applyAlignment="1">
      <alignment vertical="center" wrapText="1"/>
    </xf>
    <xf numFmtId="49" fontId="3" fillId="0" borderId="2" xfId="0" applyNumberFormat="1" applyFont="1" applyBorder="1" applyAlignment="1">
      <alignment horizontal="center" vertical="center"/>
    </xf>
    <xf numFmtId="49" fontId="3" fillId="3" borderId="2" xfId="0" applyNumberFormat="1" applyFont="1" applyFill="1" applyBorder="1" applyAlignment="1" applyProtection="1">
      <alignment horizontal="center" vertical="center"/>
      <protection hidden="1"/>
    </xf>
    <xf numFmtId="164" fontId="12" fillId="2" borderId="0" xfId="0" applyNumberFormat="1" applyFont="1" applyFill="1"/>
    <xf numFmtId="164" fontId="21" fillId="3" borderId="2" xfId="0" applyNumberFormat="1" applyFont="1" applyFill="1" applyBorder="1" applyAlignment="1">
      <alignment horizontal="center" vertical="center" wrapText="1"/>
    </xf>
    <xf numFmtId="0" fontId="24" fillId="3" borderId="2" xfId="0" applyFont="1" applyFill="1" applyBorder="1" applyAlignment="1">
      <alignment horizontal="left" vertical="center" wrapText="1"/>
    </xf>
    <xf numFmtId="49" fontId="3" fillId="3" borderId="2" xfId="0" applyNumberFormat="1" applyFont="1" applyFill="1" applyBorder="1" applyAlignment="1">
      <alignment horizontal="center" vertical="center"/>
    </xf>
    <xf numFmtId="166" fontId="24" fillId="3" borderId="2" xfId="0" applyNumberFormat="1" applyFont="1" applyFill="1" applyBorder="1" applyAlignment="1">
      <alignment horizontal="center" vertical="center"/>
    </xf>
    <xf numFmtId="166" fontId="18" fillId="2" borderId="2" xfId="0" applyNumberFormat="1" applyFont="1" applyFill="1" applyBorder="1" applyAlignment="1">
      <alignment horizontal="right" vertical="center"/>
    </xf>
    <xf numFmtId="49" fontId="24" fillId="3" borderId="2" xfId="0" applyNumberFormat="1" applyFont="1" applyFill="1" applyBorder="1" applyAlignment="1">
      <alignment horizontal="center" vertical="center"/>
    </xf>
    <xf numFmtId="164" fontId="24" fillId="3" borderId="2" xfId="0" applyNumberFormat="1" applyFont="1" applyFill="1" applyBorder="1" applyAlignment="1">
      <alignment horizontal="center" vertical="center"/>
    </xf>
    <xf numFmtId="0" fontId="3" fillId="3" borderId="2" xfId="0" applyFont="1" applyFill="1" applyBorder="1" applyAlignment="1">
      <alignment horizontal="left" vertical="top" wrapText="1"/>
    </xf>
    <xf numFmtId="49" fontId="3" fillId="3" borderId="2" xfId="0" applyNumberFormat="1" applyFont="1" applyFill="1" applyBorder="1" applyAlignment="1">
      <alignment horizontal="center" vertical="top"/>
    </xf>
    <xf numFmtId="0" fontId="3" fillId="0" borderId="0" xfId="0" applyFont="1" applyAlignment="1">
      <alignment vertical="top"/>
    </xf>
    <xf numFmtId="164" fontId="3" fillId="0" borderId="0" xfId="0" applyNumberFormat="1" applyFont="1" applyAlignment="1">
      <alignment vertical="top"/>
    </xf>
    <xf numFmtId="164" fontId="24" fillId="3" borderId="2" xfId="0" applyNumberFormat="1" applyFont="1" applyFill="1" applyBorder="1" applyAlignment="1" applyProtection="1">
      <alignment horizontal="center" vertical="center"/>
      <protection locked="0"/>
    </xf>
    <xf numFmtId="164" fontId="3" fillId="3" borderId="0" xfId="0" applyNumberFormat="1" applyFont="1" applyFill="1" applyAlignment="1">
      <alignment horizontal="center" vertical="center"/>
    </xf>
    <xf numFmtId="49" fontId="0" fillId="3" borderId="2" xfId="0" applyNumberFormat="1" applyFill="1" applyBorder="1" applyAlignment="1">
      <alignment horizontal="center" vertical="center"/>
    </xf>
    <xf numFmtId="164" fontId="24" fillId="3" borderId="4" xfId="0" applyNumberFormat="1" applyFont="1" applyFill="1" applyBorder="1" applyAlignment="1" applyProtection="1">
      <alignment horizontal="right" vertical="center"/>
      <protection locked="0"/>
    </xf>
    <xf numFmtId="166" fontId="24" fillId="3" borderId="2" xfId="0" applyNumberFormat="1" applyFont="1" applyFill="1" applyBorder="1" applyAlignment="1">
      <alignment horizontal="right" vertical="center"/>
    </xf>
    <xf numFmtId="164" fontId="0" fillId="2" borderId="2" xfId="0" applyNumberFormat="1" applyFill="1" applyBorder="1" applyAlignment="1" applyProtection="1">
      <alignment horizontal="right" vertical="center"/>
      <protection locked="0"/>
    </xf>
    <xf numFmtId="49" fontId="3" fillId="11"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xf>
    <xf numFmtId="165" fontId="3" fillId="0" borderId="0" xfId="0" applyNumberFormat="1" applyFont="1"/>
    <xf numFmtId="49" fontId="0" fillId="3" borderId="2" xfId="0" applyNumberFormat="1" applyFont="1" applyFill="1" applyBorder="1" applyAlignment="1">
      <alignment horizontal="center" vertical="center"/>
    </xf>
    <xf numFmtId="164" fontId="0" fillId="3" borderId="2" xfId="0" applyNumberFormat="1" applyFont="1" applyFill="1" applyBorder="1" applyAlignment="1">
      <alignment horizontal="center" vertical="center" wrapText="1"/>
    </xf>
    <xf numFmtId="164" fontId="3" fillId="0" borderId="1" xfId="0" applyNumberFormat="1" applyFont="1" applyBorder="1" applyAlignment="1" applyProtection="1">
      <alignment horizontal="right" vertical="center"/>
      <protection locked="0"/>
    </xf>
    <xf numFmtId="166" fontId="19" fillId="3" borderId="2"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164" fontId="7" fillId="3" borderId="3" xfId="0" applyNumberFormat="1" applyFont="1" applyFill="1" applyBorder="1" applyAlignment="1" applyProtection="1">
      <alignment horizontal="right" vertical="center"/>
      <protection locked="0"/>
    </xf>
    <xf numFmtId="169" fontId="3" fillId="0" borderId="0" xfId="0" applyNumberFormat="1" applyFont="1"/>
    <xf numFmtId="164" fontId="7" fillId="3" borderId="2" xfId="0" applyNumberFormat="1" applyFont="1"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protection locked="0"/>
    </xf>
    <xf numFmtId="49" fontId="7" fillId="0" borderId="2" xfId="0" applyNumberFormat="1" applyFont="1" applyBorder="1" applyAlignment="1">
      <alignment horizontal="center" vertical="center"/>
    </xf>
    <xf numFmtId="164" fontId="7" fillId="2" borderId="2" xfId="0" applyNumberFormat="1" applyFont="1" applyFill="1" applyBorder="1" applyAlignment="1" applyProtection="1">
      <alignment horizontal="right" vertical="center"/>
      <protection locked="0"/>
    </xf>
    <xf numFmtId="166" fontId="7" fillId="2" borderId="2" xfId="0" applyNumberFormat="1" applyFont="1" applyFill="1" applyBorder="1" applyAlignment="1">
      <alignment horizontal="right" vertical="center"/>
    </xf>
    <xf numFmtId="164" fontId="7" fillId="2" borderId="2" xfId="0" applyNumberFormat="1" applyFont="1" applyFill="1" applyBorder="1" applyAlignment="1">
      <alignment horizontal="right" vertical="center"/>
    </xf>
    <xf numFmtId="164" fontId="7" fillId="2" borderId="1" xfId="0" applyNumberFormat="1" applyFont="1" applyFill="1" applyBorder="1" applyAlignment="1" applyProtection="1">
      <alignment horizontal="right" vertical="center"/>
      <protection locked="0"/>
    </xf>
    <xf numFmtId="164" fontId="0" fillId="2" borderId="1" xfId="0" applyNumberFormat="1" applyFill="1" applyBorder="1" applyAlignment="1" applyProtection="1">
      <alignment horizontal="right" vertical="center"/>
      <protection locked="0"/>
    </xf>
    <xf numFmtId="166" fontId="19" fillId="2" borderId="2" xfId="0" applyNumberFormat="1" applyFont="1" applyFill="1" applyBorder="1" applyAlignment="1">
      <alignment horizontal="right" vertical="center"/>
    </xf>
    <xf numFmtId="164" fontId="12" fillId="3" borderId="2" xfId="0" applyNumberFormat="1" applyFont="1" applyFill="1" applyBorder="1" applyAlignment="1" applyProtection="1">
      <alignment horizontal="center" vertical="center"/>
      <protection locked="0"/>
    </xf>
    <xf numFmtId="165" fontId="19" fillId="3" borderId="2" xfId="0" applyNumberFormat="1" applyFont="1" applyFill="1" applyBorder="1" applyAlignment="1">
      <alignment horizontal="center" vertical="center"/>
    </xf>
    <xf numFmtId="164" fontId="3" fillId="2" borderId="3" xfId="0" applyNumberFormat="1" applyFont="1" applyFill="1" applyBorder="1" applyAlignment="1" applyProtection="1">
      <alignment horizontal="center" vertical="center"/>
      <protection locked="0"/>
    </xf>
    <xf numFmtId="165" fontId="3" fillId="2" borderId="3" xfId="0" applyNumberFormat="1" applyFont="1" applyFill="1" applyBorder="1" applyAlignment="1" applyProtection="1">
      <alignment horizontal="right" vertical="center"/>
      <protection locked="0"/>
    </xf>
    <xf numFmtId="164" fontId="0" fillId="3" borderId="0" xfId="0" applyNumberFormat="1" applyFill="1" applyAlignment="1">
      <alignment horizontal="center" vertical="center" wrapText="1"/>
    </xf>
    <xf numFmtId="164" fontId="4" fillId="3" borderId="2" xfId="0" applyNumberFormat="1" applyFont="1" applyFill="1" applyBorder="1" applyAlignment="1" applyProtection="1">
      <alignment horizontal="center" vertical="center"/>
      <protection locked="0"/>
    </xf>
    <xf numFmtId="164" fontId="3" fillId="3" borderId="4" xfId="0" applyNumberFormat="1" applyFont="1" applyFill="1" applyBorder="1" applyAlignment="1">
      <alignment vertical="center"/>
    </xf>
    <xf numFmtId="164" fontId="3" fillId="3" borderId="2" xfId="0" applyNumberFormat="1" applyFont="1" applyFill="1" applyBorder="1"/>
    <xf numFmtId="165" fontId="3" fillId="7" borderId="4" xfId="0" applyNumberFormat="1" applyFont="1" applyFill="1" applyBorder="1" applyAlignment="1">
      <alignment vertical="center"/>
    </xf>
    <xf numFmtId="165" fontId="3" fillId="3" borderId="4" xfId="0" applyNumberFormat="1" applyFont="1" applyFill="1" applyBorder="1" applyAlignment="1">
      <alignment vertical="center"/>
    </xf>
    <xf numFmtId="165" fontId="3" fillId="8" borderId="4" xfId="0" applyNumberFormat="1" applyFont="1" applyFill="1" applyBorder="1" applyAlignment="1">
      <alignment vertical="center"/>
    </xf>
    <xf numFmtId="164" fontId="3" fillId="2" borderId="0" xfId="0" applyNumberFormat="1" applyFont="1" applyFill="1"/>
    <xf numFmtId="0" fontId="0" fillId="3" borderId="0" xfId="0" applyFill="1"/>
    <xf numFmtId="164" fontId="0" fillId="3" borderId="0" xfId="0" applyNumberFormat="1" applyFill="1"/>
    <xf numFmtId="165" fontId="0" fillId="0" borderId="2" xfId="0" applyNumberFormat="1" applyBorder="1"/>
    <xf numFmtId="0" fontId="0" fillId="3" borderId="2" xfId="0" applyFont="1" applyFill="1" applyBorder="1" applyAlignment="1">
      <alignment horizontal="left" vertical="center" wrapText="1"/>
    </xf>
    <xf numFmtId="164" fontId="7" fillId="3" borderId="4" xfId="0" applyNumberFormat="1" applyFont="1" applyFill="1" applyBorder="1" applyAlignment="1" applyProtection="1">
      <alignment horizontal="center" vertical="center"/>
      <protection locked="0"/>
    </xf>
    <xf numFmtId="165" fontId="7" fillId="3" borderId="4" xfId="0" applyNumberFormat="1" applyFont="1" applyFill="1" applyBorder="1" applyAlignment="1" applyProtection="1">
      <alignment horizontal="right" vertical="center"/>
      <protection locked="0"/>
    </xf>
    <xf numFmtId="0" fontId="12" fillId="0" borderId="2" xfId="0" applyFont="1" applyBorder="1" applyAlignment="1">
      <alignment horizontal="left" vertical="center" wrapText="1"/>
    </xf>
    <xf numFmtId="165" fontId="12" fillId="0" borderId="3" xfId="0" applyNumberFormat="1" applyFont="1" applyBorder="1" applyAlignment="1" applyProtection="1">
      <alignment horizontal="right" vertical="center"/>
      <protection locked="0"/>
    </xf>
    <xf numFmtId="165" fontId="12" fillId="0" borderId="2" xfId="0" applyNumberFormat="1" applyFont="1" applyBorder="1" applyAlignment="1">
      <alignment horizontal="right" vertical="center"/>
    </xf>
    <xf numFmtId="0" fontId="3" fillId="0" borderId="2" xfId="0" applyFont="1" applyBorder="1" applyAlignment="1">
      <alignment horizontal="center" vertical="center" wrapText="1"/>
    </xf>
    <xf numFmtId="165" fontId="3" fillId="0" borderId="2" xfId="0" applyNumberFormat="1" applyFont="1" applyBorder="1" applyAlignment="1" applyProtection="1">
      <alignment horizontal="right" vertical="center" wrapText="1"/>
      <protection locked="0"/>
    </xf>
    <xf numFmtId="164" fontId="3" fillId="0" borderId="2" xfId="0" applyNumberFormat="1" applyFont="1" applyBorder="1" applyAlignment="1" applyProtection="1">
      <alignment horizontal="right" vertical="center" wrapText="1"/>
      <protection locked="0"/>
    </xf>
    <xf numFmtId="164" fontId="15" fillId="0" borderId="2" xfId="0" applyNumberFormat="1" applyFont="1" applyBorder="1" applyAlignment="1" applyProtection="1">
      <alignment horizontal="right" vertical="center" wrapText="1"/>
      <protection locked="0"/>
    </xf>
    <xf numFmtId="0" fontId="12" fillId="0" borderId="2" xfId="0" applyFont="1" applyBorder="1" applyAlignment="1">
      <alignment horizontal="center" vertical="center" wrapText="1"/>
    </xf>
    <xf numFmtId="165" fontId="12" fillId="0" borderId="2" xfId="0" applyNumberFormat="1" applyFont="1" applyBorder="1" applyAlignment="1">
      <alignment horizontal="right" vertical="center" wrapText="1"/>
    </xf>
    <xf numFmtId="164" fontId="12" fillId="0" borderId="2" xfId="0" applyNumberFormat="1" applyFont="1" applyBorder="1" applyAlignment="1" applyProtection="1">
      <alignment horizontal="right" vertical="center" wrapText="1"/>
      <protection locked="0"/>
    </xf>
    <xf numFmtId="164" fontId="12" fillId="11" borderId="2" xfId="0" applyNumberFormat="1" applyFont="1" applyFill="1" applyBorder="1" applyAlignment="1" applyProtection="1">
      <alignment horizontal="right" vertical="center" wrapText="1"/>
      <protection locked="0"/>
    </xf>
    <xf numFmtId="164" fontId="12" fillId="0" borderId="2" xfId="0" applyNumberFormat="1" applyFont="1" applyBorder="1" applyAlignment="1">
      <alignment horizontal="right" vertical="center"/>
    </xf>
    <xf numFmtId="164" fontId="3" fillId="11" borderId="2" xfId="0" applyNumberFormat="1" applyFont="1" applyFill="1" applyBorder="1" applyAlignment="1" applyProtection="1">
      <alignment horizontal="right" vertical="center" wrapText="1"/>
      <protection locked="0"/>
    </xf>
    <xf numFmtId="165" fontId="12" fillId="0" borderId="2" xfId="0" applyNumberFormat="1" applyFont="1" applyBorder="1" applyAlignment="1" applyProtection="1">
      <alignment horizontal="right" vertical="center" wrapText="1"/>
      <protection locked="0"/>
    </xf>
    <xf numFmtId="166" fontId="29" fillId="0" borderId="2" xfId="0" applyNumberFormat="1" applyFont="1" applyBorder="1" applyAlignment="1">
      <alignment horizontal="right" vertical="center"/>
    </xf>
    <xf numFmtId="0" fontId="13" fillId="0" borderId="0" xfId="0" applyFont="1"/>
    <xf numFmtId="0" fontId="2" fillId="0" borderId="2" xfId="0" applyFont="1" applyBorder="1" applyAlignment="1">
      <alignment horizontal="center" vertical="center" wrapText="1"/>
    </xf>
    <xf numFmtId="164" fontId="0" fillId="0" borderId="2" xfId="0" applyNumberFormat="1" applyBorder="1" applyAlignment="1" applyProtection="1">
      <alignment horizontal="right" vertical="center" wrapText="1"/>
      <protection locked="0"/>
    </xf>
    <xf numFmtId="164" fontId="7" fillId="0" borderId="2" xfId="0" applyNumberFormat="1" applyFont="1" applyBorder="1" applyAlignment="1" applyProtection="1">
      <alignment horizontal="right" vertical="center" wrapText="1"/>
      <protection locked="0"/>
    </xf>
    <xf numFmtId="0" fontId="13" fillId="0" borderId="2" xfId="0" applyFont="1" applyBorder="1"/>
    <xf numFmtId="166" fontId="28" fillId="0" borderId="2" xfId="0" applyNumberFormat="1" applyFont="1" applyBorder="1" applyAlignment="1">
      <alignment horizontal="right" vertical="center"/>
    </xf>
    <xf numFmtId="0" fontId="30" fillId="0" borderId="2" xfId="0" applyFont="1" applyBorder="1"/>
    <xf numFmtId="0" fontId="8" fillId="0" borderId="2" xfId="0" applyFont="1" applyBorder="1" applyAlignment="1">
      <alignment horizontal="center" vertical="center" wrapText="1"/>
    </xf>
    <xf numFmtId="164" fontId="7" fillId="2" borderId="2" xfId="0" applyNumberFormat="1" applyFont="1" applyFill="1" applyBorder="1" applyAlignment="1" applyProtection="1">
      <alignment horizontal="right" vertical="center" wrapText="1"/>
      <protection locked="0"/>
    </xf>
    <xf numFmtId="164" fontId="0" fillId="2" borderId="2" xfId="0" applyNumberFormat="1" applyFill="1" applyBorder="1" applyAlignment="1" applyProtection="1">
      <alignment horizontal="right" vertical="center" wrapText="1"/>
      <protection locked="0"/>
    </xf>
    <xf numFmtId="166" fontId="26" fillId="2" borderId="2" xfId="0" applyNumberFormat="1" applyFont="1" applyFill="1" applyBorder="1" applyAlignment="1">
      <alignment horizontal="right" vertical="center"/>
    </xf>
    <xf numFmtId="164" fontId="8" fillId="2" borderId="2" xfId="0" applyNumberFormat="1" applyFont="1" applyFill="1" applyBorder="1" applyAlignment="1">
      <alignment horizontal="right" vertical="center"/>
    </xf>
    <xf numFmtId="166" fontId="31" fillId="0" borderId="2" xfId="0" applyNumberFormat="1" applyFont="1" applyBorder="1" applyAlignment="1">
      <alignment horizontal="right" vertical="center"/>
    </xf>
    <xf numFmtId="164" fontId="12"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xf>
    <xf numFmtId="164" fontId="3" fillId="2" borderId="2" xfId="0"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hidden="1"/>
    </xf>
    <xf numFmtId="165" fontId="3" fillId="0" borderId="1" xfId="0" applyNumberFormat="1" applyFont="1" applyBorder="1" applyAlignment="1" applyProtection="1">
      <alignment horizontal="right" vertical="center" wrapText="1"/>
      <protection locked="0"/>
    </xf>
    <xf numFmtId="0" fontId="12" fillId="3" borderId="2" xfId="0" applyFont="1" applyFill="1" applyBorder="1" applyAlignment="1">
      <alignment horizontal="center" vertical="center"/>
    </xf>
    <xf numFmtId="164" fontId="7" fillId="3" borderId="1" xfId="0" applyNumberFormat="1" applyFont="1" applyFill="1" applyBorder="1"/>
    <xf numFmtId="164" fontId="3" fillId="3" borderId="1" xfId="0" applyNumberFormat="1" applyFont="1" applyFill="1" applyBorder="1"/>
    <xf numFmtId="9" fontId="32" fillId="3" borderId="2" xfId="0" applyNumberFormat="1" applyFont="1" applyFill="1" applyBorder="1" applyAlignment="1">
      <alignment horizontal="right" vertical="center"/>
    </xf>
    <xf numFmtId="49" fontId="15" fillId="0" borderId="2" xfId="0" applyNumberFormat="1" applyFont="1" applyBorder="1" applyAlignment="1" applyProtection="1">
      <alignment horizontal="left" vertical="center" wrapText="1"/>
      <protection hidden="1"/>
    </xf>
    <xf numFmtId="164" fontId="3" fillId="2" borderId="3" xfId="0" applyNumberFormat="1" applyFont="1" applyFill="1" applyBorder="1" applyAlignment="1" applyProtection="1">
      <alignment horizontal="right" vertical="center" wrapText="1"/>
      <protection locked="0"/>
    </xf>
    <xf numFmtId="164" fontId="3" fillId="0" borderId="3" xfId="0" applyNumberFormat="1" applyFont="1" applyBorder="1" applyAlignment="1" applyProtection="1">
      <alignment horizontal="right" vertical="center" wrapText="1"/>
      <protection locked="0"/>
    </xf>
    <xf numFmtId="164" fontId="2" fillId="2" borderId="3" xfId="0" applyNumberFormat="1" applyFont="1" applyFill="1" applyBorder="1" applyAlignment="1">
      <alignment horizontal="right" vertical="center"/>
    </xf>
    <xf numFmtId="0" fontId="33" fillId="0" borderId="2" xfId="0" applyFont="1" applyBorder="1" applyAlignment="1">
      <alignment horizontal="center" vertical="center"/>
    </xf>
    <xf numFmtId="0" fontId="12" fillId="0" borderId="2" xfId="0" applyFont="1" applyBorder="1" applyAlignment="1" applyProtection="1">
      <alignment horizontal="left" vertical="center" wrapText="1"/>
      <protection hidden="1"/>
    </xf>
    <xf numFmtId="0" fontId="30" fillId="3" borderId="7" xfId="0" applyFont="1" applyFill="1" applyBorder="1" applyAlignment="1">
      <alignment wrapText="1"/>
    </xf>
    <xf numFmtId="0" fontId="8" fillId="3" borderId="1" xfId="0" applyFont="1" applyFill="1" applyBorder="1" applyAlignment="1">
      <alignment horizontal="center" vertical="center"/>
    </xf>
    <xf numFmtId="164" fontId="8" fillId="3" borderId="1" xfId="0" applyNumberFormat="1" applyFont="1" applyFill="1" applyBorder="1" applyAlignment="1" applyProtection="1">
      <alignment horizontal="right" vertical="center" wrapText="1"/>
      <protection locked="0"/>
    </xf>
    <xf numFmtId="164" fontId="8" fillId="2" borderId="1" xfId="0" applyNumberFormat="1" applyFont="1" applyFill="1" applyBorder="1" applyAlignment="1" applyProtection="1">
      <alignment horizontal="right" vertical="center" wrapText="1"/>
      <protection locked="0"/>
    </xf>
    <xf numFmtId="165" fontId="8" fillId="2" borderId="2" xfId="0" applyNumberFormat="1" applyFont="1" applyFill="1" applyBorder="1" applyAlignment="1" applyProtection="1">
      <alignment horizontal="right" vertical="center" wrapText="1"/>
      <protection locked="0"/>
    </xf>
    <xf numFmtId="0" fontId="13" fillId="3" borderId="8" xfId="0" applyFont="1" applyFill="1" applyBorder="1" applyAlignment="1">
      <alignment vertical="center"/>
    </xf>
    <xf numFmtId="165" fontId="3" fillId="3" borderId="2" xfId="0" applyNumberFormat="1" applyFont="1" applyFill="1" applyBorder="1" applyAlignment="1" applyProtection="1">
      <alignment horizontal="right" vertical="center" wrapText="1"/>
      <protection locked="0"/>
    </xf>
    <xf numFmtId="165" fontId="3" fillId="2" borderId="2" xfId="0"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165" fontId="3" fillId="3" borderId="1" xfId="0" applyNumberFormat="1" applyFont="1" applyFill="1" applyBorder="1" applyAlignment="1" applyProtection="1">
      <alignment horizontal="right" vertical="center" wrapText="1"/>
      <protection locked="0"/>
    </xf>
    <xf numFmtId="0" fontId="21" fillId="3" borderId="2" xfId="0" applyFont="1" applyFill="1" applyBorder="1" applyAlignment="1">
      <alignment horizontal="center" vertical="center"/>
    </xf>
    <xf numFmtId="164" fontId="10" fillId="3" borderId="2" xfId="0" applyNumberFormat="1" applyFont="1" applyFill="1" applyBorder="1" applyAlignment="1">
      <alignment horizontal="center" vertical="center" wrapText="1"/>
    </xf>
    <xf numFmtId="164" fontId="21" fillId="2" borderId="0" xfId="0" applyNumberFormat="1" applyFont="1" applyFill="1"/>
    <xf numFmtId="167" fontId="19" fillId="0" borderId="0" xfId="0" applyNumberFormat="1" applyFont="1"/>
    <xf numFmtId="164" fontId="3" fillId="0" borderId="3" xfId="0" applyNumberFormat="1" applyFont="1" applyBorder="1" applyAlignment="1">
      <alignment horizontal="right" vertical="center" wrapText="1"/>
    </xf>
    <xf numFmtId="0" fontId="3" fillId="0" borderId="1" xfId="0" applyFont="1" applyBorder="1" applyAlignment="1">
      <alignment vertical="center"/>
    </xf>
    <xf numFmtId="0" fontId="3" fillId="3" borderId="2" xfId="0" applyFont="1" applyFill="1" applyBorder="1" applyAlignment="1">
      <alignment horizontal="center" vertical="center" wrapText="1"/>
    </xf>
    <xf numFmtId="0" fontId="3" fillId="0" borderId="3" xfId="0" applyFont="1" applyBorder="1"/>
    <xf numFmtId="166" fontId="2" fillId="0" borderId="2" xfId="0" applyNumberFormat="1" applyFont="1" applyBorder="1" applyAlignment="1">
      <alignment horizontal="right" vertical="center"/>
    </xf>
    <xf numFmtId="0" fontId="3" fillId="3" borderId="2" xfId="0" applyFont="1" applyFill="1" applyBorder="1" applyAlignment="1" applyProtection="1">
      <alignment horizontal="center" vertical="center" wrapText="1"/>
      <protection hidden="1"/>
    </xf>
    <xf numFmtId="164" fontId="3" fillId="3" borderId="3" xfId="0" applyNumberFormat="1" applyFont="1" applyFill="1" applyBorder="1" applyAlignment="1" applyProtection="1">
      <alignment horizontal="right" vertical="center" wrapText="1"/>
      <protection locked="0"/>
    </xf>
    <xf numFmtId="164" fontId="3" fillId="2" borderId="4" xfId="0" applyNumberFormat="1" applyFont="1" applyFill="1" applyBorder="1" applyAlignment="1" applyProtection="1">
      <alignment horizontal="right" vertical="center" wrapText="1"/>
      <protection locked="0"/>
    </xf>
    <xf numFmtId="4" fontId="34" fillId="0" borderId="0" xfId="0" applyNumberFormat="1" applyFont="1"/>
    <xf numFmtId="167" fontId="9" fillId="0" borderId="0" xfId="0" applyNumberFormat="1" applyFont="1"/>
    <xf numFmtId="164" fontId="35" fillId="3" borderId="1" xfId="0" applyNumberFormat="1" applyFont="1" applyFill="1" applyBorder="1" applyAlignment="1">
      <alignment horizontal="right" vertical="center" wrapText="1"/>
    </xf>
    <xf numFmtId="0" fontId="4" fillId="3" borderId="2" xfId="0"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5" fillId="0" borderId="0" xfId="0" applyNumberFormat="1" applyFont="1"/>
    <xf numFmtId="2" fontId="36" fillId="12" borderId="8" xfId="0" applyNumberFormat="1" applyFont="1" applyFill="1" applyBorder="1" applyAlignment="1">
      <alignment horizontal="right"/>
    </xf>
    <xf numFmtId="2" fontId="36" fillId="12" borderId="3" xfId="0" applyNumberFormat="1" applyFont="1" applyFill="1" applyBorder="1" applyAlignment="1">
      <alignment horizontal="right"/>
    </xf>
    <xf numFmtId="2" fontId="36" fillId="12" borderId="6" xfId="0" applyNumberFormat="1" applyFont="1" applyFill="1" applyBorder="1" applyAlignment="1">
      <alignment horizontal="right"/>
    </xf>
    <xf numFmtId="170" fontId="0" fillId="0" borderId="0" xfId="0" applyNumberFormat="1"/>
    <xf numFmtId="170" fontId="7" fillId="0" borderId="0" xfId="0" applyNumberFormat="1" applyFont="1"/>
    <xf numFmtId="170" fontId="3" fillId="0" borderId="0" xfId="0" applyNumberFormat="1" applyFont="1"/>
    <xf numFmtId="0" fontId="7" fillId="3" borderId="2"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left" vertical="center" wrapText="1" indent="4"/>
      <protection hidden="1"/>
    </xf>
    <xf numFmtId="0" fontId="3" fillId="3" borderId="2" xfId="0" applyFont="1" applyFill="1" applyBorder="1" applyAlignment="1">
      <alignment horizontal="left" vertical="center" wrapText="1" indent="3"/>
    </xf>
    <xf numFmtId="164" fontId="3" fillId="3" borderId="2" xfId="0" applyNumberFormat="1" applyFont="1" applyFill="1" applyBorder="1" applyAlignment="1" applyProtection="1">
      <alignment horizontal="center" vertical="center" wrapText="1"/>
      <protection locked="0"/>
    </xf>
    <xf numFmtId="164" fontId="13" fillId="3" borderId="2" xfId="0" applyNumberFormat="1" applyFont="1" applyFill="1" applyBorder="1" applyAlignment="1">
      <alignment horizontal="center" vertical="center"/>
    </xf>
    <xf numFmtId="164" fontId="12" fillId="3" borderId="3" xfId="0" applyNumberFormat="1" applyFont="1" applyFill="1" applyBorder="1" applyAlignment="1" applyProtection="1">
      <alignment horizontal="right" vertical="center" wrapText="1"/>
      <protection locked="0"/>
    </xf>
    <xf numFmtId="164" fontId="12" fillId="3" borderId="2"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hidden="1"/>
    </xf>
    <xf numFmtId="170" fontId="2" fillId="0" borderId="0" xfId="0" applyNumberFormat="1" applyFont="1"/>
    <xf numFmtId="164" fontId="0" fillId="0" borderId="4" xfId="0" applyNumberFormat="1" applyBorder="1" applyAlignment="1" applyProtection="1">
      <alignment horizontal="right" vertical="center" wrapText="1"/>
      <protection locked="0"/>
    </xf>
    <xf numFmtId="164" fontId="0" fillId="11" borderId="4" xfId="0" applyNumberFormat="1" applyFill="1" applyBorder="1" applyAlignment="1" applyProtection="1">
      <alignment horizontal="right" vertical="center" wrapText="1"/>
      <protection locked="0"/>
    </xf>
    <xf numFmtId="0" fontId="7" fillId="3" borderId="2" xfId="0" applyFont="1" applyFill="1" applyBorder="1" applyAlignment="1" applyProtection="1">
      <alignment horizontal="center" vertical="center" wrapText="1"/>
      <protection hidden="1"/>
    </xf>
    <xf numFmtId="170" fontId="5" fillId="0" borderId="0" xfId="0" applyNumberFormat="1" applyFont="1"/>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164" fontId="2" fillId="2" borderId="3" xfId="0" applyNumberFormat="1" applyFont="1" applyFill="1" applyBorder="1" applyAlignment="1" applyProtection="1">
      <alignment horizontal="right" vertical="center" wrapText="1"/>
      <protection locked="0"/>
    </xf>
    <xf numFmtId="164" fontId="0" fillId="2" borderId="3" xfId="0" applyNumberFormat="1" applyFill="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0" fontId="3" fillId="3" borderId="2" xfId="0" applyFont="1" applyFill="1" applyBorder="1" applyAlignment="1" applyProtection="1">
      <alignment vertical="center" wrapText="1"/>
      <protection hidden="1"/>
    </xf>
    <xf numFmtId="165" fontId="3" fillId="2" borderId="4" xfId="0" applyNumberFormat="1" applyFont="1" applyFill="1" applyBorder="1" applyAlignment="1" applyProtection="1">
      <alignment horizontal="right" vertical="center" wrapText="1"/>
      <protection locked="0"/>
    </xf>
    <xf numFmtId="165" fontId="3" fillId="0" borderId="4" xfId="0" applyNumberFormat="1" applyFont="1" applyBorder="1" applyAlignment="1" applyProtection="1">
      <alignment horizontal="right" vertical="center" wrapText="1"/>
      <protection locked="0"/>
    </xf>
    <xf numFmtId="0" fontId="2" fillId="3" borderId="2" xfId="0" applyFont="1" applyFill="1" applyBorder="1" applyAlignment="1" applyProtection="1">
      <alignment vertical="center" wrapText="1"/>
      <protection hidden="1"/>
    </xf>
    <xf numFmtId="0" fontId="2" fillId="3" borderId="2" xfId="0" applyFont="1" applyFill="1" applyBorder="1" applyAlignment="1">
      <alignment horizontal="center" vertical="center"/>
    </xf>
    <xf numFmtId="164" fontId="2" fillId="3" borderId="2"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164" fontId="2" fillId="2" borderId="3" xfId="0" applyNumberFormat="1" applyFont="1" applyFill="1" applyBorder="1" applyAlignment="1" applyProtection="1">
      <alignment horizontal="right" vertical="center"/>
      <protection locked="0"/>
    </xf>
    <xf numFmtId="0" fontId="12"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164" fontId="10" fillId="3" borderId="2" xfId="0" applyNumberFormat="1" applyFont="1" applyFill="1" applyBorder="1" applyAlignment="1" applyProtection="1">
      <alignment horizontal="center" vertical="center"/>
      <protection locked="0"/>
    </xf>
    <xf numFmtId="4" fontId="3" fillId="0" borderId="0" xfId="0" applyNumberFormat="1" applyFont="1"/>
    <xf numFmtId="0" fontId="8" fillId="3" borderId="2" xfId="0" applyFont="1" applyFill="1" applyBorder="1" applyAlignment="1">
      <alignment horizontal="center" vertical="center"/>
    </xf>
    <xf numFmtId="164" fontId="38" fillId="0" borderId="0" xfId="0" applyNumberFormat="1" applyFont="1"/>
    <xf numFmtId="164" fontId="10" fillId="3" borderId="2" xfId="0" applyNumberFormat="1" applyFont="1" applyFill="1" applyBorder="1" applyAlignment="1" applyProtection="1">
      <alignment horizontal="right" vertical="center"/>
      <protection locked="0"/>
    </xf>
    <xf numFmtId="164" fontId="10" fillId="2" borderId="2" xfId="0" applyNumberFormat="1" applyFont="1" applyFill="1" applyBorder="1" applyAlignment="1" applyProtection="1">
      <alignment horizontal="right" vertical="center"/>
      <protection locked="0"/>
    </xf>
    <xf numFmtId="0" fontId="39" fillId="2" borderId="3" xfId="0" applyFont="1" applyFill="1" applyBorder="1" applyAlignment="1" applyProtection="1">
      <alignment horizontal="center" vertical="center" wrapText="1"/>
      <protection hidden="1"/>
    </xf>
    <xf numFmtId="0" fontId="8" fillId="2" borderId="2" xfId="0" applyFont="1" applyFill="1" applyBorder="1" applyAlignment="1">
      <alignment horizontal="center" vertical="center"/>
    </xf>
    <xf numFmtId="164" fontId="4" fillId="2" borderId="3" xfId="0" applyNumberFormat="1" applyFont="1" applyFill="1" applyBorder="1" applyAlignment="1" applyProtection="1">
      <alignment horizontal="right" vertical="center"/>
      <protection locked="0"/>
    </xf>
    <xf numFmtId="166" fontId="4" fillId="2" borderId="2" xfId="0" applyNumberFormat="1" applyFont="1" applyFill="1" applyBorder="1" applyAlignment="1">
      <alignment horizontal="right" vertical="center"/>
    </xf>
    <xf numFmtId="165" fontId="4" fillId="2" borderId="3" xfId="0" applyNumberFormat="1" applyFont="1" applyFill="1" applyBorder="1" applyAlignment="1" applyProtection="1">
      <alignment horizontal="right" vertical="center"/>
      <protection locked="0"/>
    </xf>
    <xf numFmtId="164" fontId="4" fillId="2" borderId="2" xfId="0" applyNumberFormat="1" applyFont="1" applyFill="1" applyBorder="1" applyAlignment="1">
      <alignment horizontal="right" vertical="center"/>
    </xf>
    <xf numFmtId="0" fontId="13" fillId="2" borderId="3" xfId="0" applyFont="1" applyFill="1" applyBorder="1" applyAlignment="1" applyProtection="1">
      <alignment horizontal="left" vertical="center" wrapText="1"/>
      <protection hidden="1"/>
    </xf>
    <xf numFmtId="0" fontId="3" fillId="2" borderId="2" xfId="0" applyFont="1" applyFill="1" applyBorder="1" applyAlignment="1">
      <alignment horizontal="center" vertical="center"/>
    </xf>
    <xf numFmtId="165" fontId="0" fillId="2" borderId="2" xfId="0" applyNumberFormat="1" applyFill="1" applyBorder="1" applyAlignment="1" applyProtection="1">
      <alignment horizontal="right" vertical="center"/>
      <protection locked="0"/>
    </xf>
    <xf numFmtId="166" fontId="10" fillId="2" borderId="2" xfId="0" applyNumberFormat="1" applyFont="1" applyFill="1" applyBorder="1" applyAlignment="1">
      <alignment horizontal="right" vertical="center"/>
    </xf>
    <xf numFmtId="165" fontId="10" fillId="2" borderId="1" xfId="0" applyNumberFormat="1" applyFont="1" applyFill="1" applyBorder="1" applyAlignment="1" applyProtection="1">
      <alignment horizontal="right" vertical="center"/>
      <protection locked="0"/>
    </xf>
    <xf numFmtId="165" fontId="0" fillId="2" borderId="1" xfId="0" applyNumberFormat="1" applyFill="1" applyBorder="1" applyAlignment="1" applyProtection="1">
      <alignment horizontal="right" vertical="center"/>
      <protection locked="0"/>
    </xf>
    <xf numFmtId="166" fontId="40" fillId="3" borderId="2" xfId="0" applyNumberFormat="1" applyFont="1" applyFill="1" applyBorder="1" applyAlignment="1">
      <alignment horizontal="center" vertical="center"/>
    </xf>
    <xf numFmtId="0" fontId="41" fillId="3" borderId="2" xfId="0" applyFont="1" applyFill="1" applyBorder="1" applyAlignment="1">
      <alignment horizontal="left" vertical="center" wrapText="1"/>
    </xf>
    <xf numFmtId="0" fontId="41" fillId="3" borderId="2" xfId="0" applyFont="1" applyFill="1" applyBorder="1" applyAlignment="1">
      <alignment horizontal="center" vertical="center"/>
    </xf>
    <xf numFmtId="164" fontId="40" fillId="3" borderId="2" xfId="0" applyNumberFormat="1" applyFont="1" applyFill="1" applyBorder="1" applyAlignment="1" applyProtection="1">
      <alignment horizontal="center" vertical="center"/>
      <protection locked="0"/>
    </xf>
    <xf numFmtId="49" fontId="43" fillId="3" borderId="2" xfId="0" applyNumberFormat="1" applyFont="1" applyFill="1" applyBorder="1" applyAlignment="1" applyProtection="1">
      <alignment horizontal="left" vertical="center" wrapText="1"/>
      <protection hidden="1"/>
    </xf>
    <xf numFmtId="0" fontId="15" fillId="3" borderId="2"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3"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164" fontId="43" fillId="3" borderId="3" xfId="0" applyNumberFormat="1" applyFont="1" applyFill="1" applyBorder="1" applyAlignment="1">
      <alignment horizontal="right" vertical="center" wrapText="1"/>
    </xf>
    <xf numFmtId="164" fontId="43" fillId="2" borderId="3" xfId="0" applyNumberFormat="1" applyFont="1" applyFill="1" applyBorder="1" applyAlignment="1">
      <alignment horizontal="right" vertical="center" wrapText="1"/>
    </xf>
    <xf numFmtId="164" fontId="2" fillId="0" borderId="2" xfId="0" applyNumberFormat="1" applyFont="1" applyBorder="1"/>
    <xf numFmtId="164" fontId="43" fillId="0" borderId="2" xfId="0" applyNumberFormat="1" applyFont="1" applyBorder="1" applyAlignment="1">
      <alignment horizontal="right" vertical="center"/>
    </xf>
    <xf numFmtId="166" fontId="42" fillId="0" borderId="2" xfId="0" applyNumberFormat="1" applyFont="1" applyBorder="1" applyAlignment="1">
      <alignment horizontal="right" vertical="center"/>
    </xf>
    <xf numFmtId="164" fontId="43" fillId="3" borderId="2" xfId="0" applyNumberFormat="1" applyFont="1" applyFill="1" applyBorder="1" applyAlignment="1">
      <alignment horizontal="right" vertical="center" wrapText="1"/>
    </xf>
    <xf numFmtId="164" fontId="43" fillId="2" borderId="2" xfId="0" applyNumberFormat="1" applyFont="1" applyFill="1" applyBorder="1" applyAlignment="1">
      <alignment horizontal="right" vertical="center" wrapText="1"/>
    </xf>
    <xf numFmtId="164" fontId="43" fillId="3" borderId="1" xfId="0" applyNumberFormat="1" applyFont="1" applyFill="1" applyBorder="1" applyAlignment="1">
      <alignment horizontal="right" vertical="center" wrapText="1"/>
    </xf>
    <xf numFmtId="164" fontId="43" fillId="2" borderId="1" xfId="0" applyNumberFormat="1" applyFont="1" applyFill="1" applyBorder="1" applyAlignment="1">
      <alignment horizontal="right" vertical="center" wrapText="1"/>
    </xf>
    <xf numFmtId="49" fontId="44" fillId="3" borderId="2" xfId="0" applyNumberFormat="1" applyFont="1" applyFill="1" applyBorder="1" applyAlignment="1" applyProtection="1">
      <alignment horizontal="center" vertical="center" wrapText="1"/>
      <protection hidden="1"/>
    </xf>
    <xf numFmtId="0" fontId="44" fillId="3" borderId="2" xfId="0" applyFont="1" applyFill="1" applyBorder="1" applyAlignment="1">
      <alignment horizontal="center" vertical="center"/>
    </xf>
    <xf numFmtId="165" fontId="15" fillId="0" borderId="4" xfId="0" applyNumberFormat="1" applyFont="1" applyBorder="1" applyAlignment="1">
      <alignment horizontal="right" vertical="center" wrapText="1"/>
    </xf>
    <xf numFmtId="166" fontId="45" fillId="0" borderId="2" xfId="0" applyNumberFormat="1" applyFont="1" applyBorder="1" applyAlignment="1">
      <alignment horizontal="right" vertical="center"/>
    </xf>
    <xf numFmtId="165" fontId="15" fillId="0" borderId="4" xfId="0" applyNumberFormat="1" applyFont="1" applyBorder="1" applyAlignment="1" applyProtection="1">
      <alignment horizontal="right" vertical="center" wrapText="1"/>
      <protection locked="0"/>
    </xf>
    <xf numFmtId="0" fontId="4" fillId="3" borderId="2" xfId="0" applyFont="1" applyFill="1" applyBorder="1" applyAlignment="1">
      <alignment horizontal="left" vertical="center" wrapText="1"/>
    </xf>
    <xf numFmtId="0" fontId="46" fillId="3" borderId="2" xfId="0" applyFont="1" applyFill="1" applyBorder="1" applyAlignment="1">
      <alignment horizontal="center" vertical="center"/>
    </xf>
    <xf numFmtId="0" fontId="10" fillId="3" borderId="2" xfId="0" applyFont="1" applyFill="1" applyBorder="1" applyAlignment="1">
      <alignment horizontal="center"/>
    </xf>
    <xf numFmtId="0" fontId="10" fillId="3" borderId="0" xfId="0" applyFont="1" applyFill="1"/>
    <xf numFmtId="0" fontId="10" fillId="0" borderId="0" xfId="0" applyFont="1"/>
    <xf numFmtId="0" fontId="12" fillId="3" borderId="1" xfId="0" applyFont="1" applyFill="1" applyBorder="1" applyAlignment="1">
      <alignment horizontal="center" vertical="center"/>
    </xf>
    <xf numFmtId="165" fontId="5" fillId="12" borderId="0" xfId="0" applyNumberFormat="1" applyFont="1" applyFill="1"/>
    <xf numFmtId="0" fontId="5" fillId="3" borderId="2" xfId="0" applyFont="1" applyFill="1" applyBorder="1" applyAlignment="1">
      <alignment horizontal="centerContinuous" vertical="center"/>
    </xf>
    <xf numFmtId="164" fontId="5" fillId="3" borderId="2" xfId="0" applyNumberFormat="1" applyFont="1" applyFill="1" applyBorder="1" applyAlignment="1">
      <alignment horizontal="center" vertical="center"/>
    </xf>
    <xf numFmtId="171" fontId="5" fillId="2" borderId="0" xfId="0" applyNumberFormat="1" applyFont="1" applyFill="1"/>
    <xf numFmtId="0" fontId="48" fillId="0" borderId="9" xfId="0" applyFont="1" applyBorder="1" applyAlignment="1">
      <alignment vertical="center" wrapText="1"/>
    </xf>
    <xf numFmtId="0" fontId="8" fillId="0" borderId="3" xfId="0" applyFont="1" applyBorder="1" applyAlignment="1">
      <alignment horizontal="center" vertical="center"/>
    </xf>
    <xf numFmtId="166" fontId="3" fillId="0" borderId="3" xfId="0" applyNumberFormat="1" applyFont="1" applyBorder="1" applyAlignment="1">
      <alignment horizontal="right" vertical="center"/>
    </xf>
    <xf numFmtId="0" fontId="48" fillId="0" borderId="10" xfId="0" applyFont="1" applyBorder="1" applyAlignment="1">
      <alignment vertical="center" wrapText="1"/>
    </xf>
    <xf numFmtId="0" fontId="8" fillId="0" borderId="1" xfId="0" applyFont="1" applyBorder="1" applyAlignment="1">
      <alignment horizontal="center" vertical="center"/>
    </xf>
    <xf numFmtId="166" fontId="3" fillId="0" borderId="1" xfId="0" applyNumberFormat="1" applyFont="1" applyBorder="1" applyAlignment="1">
      <alignment horizontal="right" vertical="center"/>
    </xf>
    <xf numFmtId="0" fontId="49" fillId="0" borderId="9" xfId="0" applyFont="1" applyBorder="1" applyAlignment="1">
      <alignment vertical="center" wrapText="1"/>
    </xf>
    <xf numFmtId="0" fontId="12" fillId="0" borderId="3" xfId="0" applyFont="1" applyBorder="1" applyAlignment="1">
      <alignment horizontal="center" vertical="center"/>
    </xf>
    <xf numFmtId="164" fontId="12" fillId="0" borderId="3" xfId="0" applyNumberFormat="1" applyFont="1" applyBorder="1" applyAlignment="1">
      <alignment horizontal="right" vertical="center"/>
    </xf>
    <xf numFmtId="164" fontId="12" fillId="11" borderId="3" xfId="0" applyNumberFormat="1" applyFont="1" applyFill="1" applyBorder="1" applyAlignment="1">
      <alignment horizontal="right" vertical="center"/>
    </xf>
    <xf numFmtId="166" fontId="12" fillId="0" borderId="3"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49" fillId="0" borderId="10" xfId="0" applyFont="1" applyBorder="1" applyAlignment="1">
      <alignment vertical="center" wrapText="1"/>
    </xf>
    <xf numFmtId="0" fontId="12" fillId="0" borderId="1" xfId="0" applyFont="1" applyBorder="1" applyAlignment="1">
      <alignment horizontal="center" vertical="center"/>
    </xf>
    <xf numFmtId="166" fontId="12"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12" fillId="0" borderId="2" xfId="0" applyFont="1" applyBorder="1" applyAlignment="1">
      <alignment vertical="center" wrapText="1"/>
    </xf>
    <xf numFmtId="0" fontId="7" fillId="0" borderId="2" xfId="0" applyFont="1" applyBorder="1" applyAlignment="1">
      <alignment horizontal="center" vertical="center"/>
    </xf>
    <xf numFmtId="165" fontId="3" fillId="11" borderId="2" xfId="0" applyNumberFormat="1" applyFont="1" applyFill="1" applyBorder="1" applyAlignment="1">
      <alignment horizontal="right" vertical="center"/>
    </xf>
    <xf numFmtId="165" fontId="3" fillId="11" borderId="1" xfId="0" applyNumberFormat="1" applyFont="1" applyFill="1" applyBorder="1" applyAlignment="1">
      <alignment horizontal="right" vertical="center"/>
    </xf>
    <xf numFmtId="0" fontId="49" fillId="3" borderId="2" xfId="0" applyFont="1" applyFill="1" applyBorder="1" applyAlignment="1">
      <alignment horizontal="left" vertical="center" wrapText="1"/>
    </xf>
    <xf numFmtId="169" fontId="12" fillId="13" borderId="0" xfId="0" applyNumberFormat="1" applyFont="1" applyFill="1"/>
    <xf numFmtId="169" fontId="12" fillId="14" borderId="0" xfId="0" applyNumberFormat="1" applyFont="1" applyFill="1"/>
    <xf numFmtId="0" fontId="3" fillId="3" borderId="4" xfId="0" applyFont="1" applyFill="1" applyBorder="1" applyAlignment="1">
      <alignment horizontal="center" vertical="center"/>
    </xf>
    <xf numFmtId="165" fontId="4" fillId="3" borderId="2" xfId="0" applyNumberFormat="1" applyFont="1" applyFill="1" applyBorder="1" applyAlignment="1" applyProtection="1">
      <alignment horizontal="right" vertical="center"/>
      <protection locked="0"/>
    </xf>
    <xf numFmtId="165" fontId="3" fillId="3" borderId="1" xfId="0" applyNumberFormat="1" applyFont="1" applyFill="1" applyBorder="1" applyAlignment="1">
      <alignment horizontal="center" vertical="center"/>
    </xf>
    <xf numFmtId="0" fontId="2" fillId="0" borderId="2" xfId="0" applyFont="1" applyBorder="1" applyAlignment="1">
      <alignment horizontal="center" vertical="center"/>
    </xf>
    <xf numFmtId="165" fontId="2" fillId="3" borderId="2" xfId="0" applyNumberFormat="1" applyFont="1" applyFill="1" applyBorder="1"/>
    <xf numFmtId="164" fontId="50" fillId="3" borderId="2" xfId="0" applyNumberFormat="1" applyFont="1" applyFill="1" applyBorder="1" applyAlignment="1">
      <alignment horizontal="center" vertical="center"/>
    </xf>
    <xf numFmtId="165" fontId="2" fillId="3" borderId="2"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164" fontId="12" fillId="3" borderId="2" xfId="0" applyNumberFormat="1" applyFont="1" applyFill="1" applyBorder="1" applyAlignment="1">
      <alignment horizontal="right" vertical="center"/>
    </xf>
    <xf numFmtId="0" fontId="0" fillId="3" borderId="2" xfId="0" applyFont="1" applyFill="1" applyBorder="1" applyAlignment="1">
      <alignment horizontal="center" vertical="center"/>
    </xf>
    <xf numFmtId="164" fontId="2" fillId="2" borderId="2" xfId="0" applyNumberFormat="1" applyFont="1" applyFill="1" applyBorder="1"/>
    <xf numFmtId="164" fontId="2" fillId="3" borderId="2" xfId="0" applyNumberFormat="1" applyFont="1" applyFill="1" applyBorder="1"/>
    <xf numFmtId="0" fontId="10" fillId="3" borderId="2" xfId="0" applyFont="1" applyFill="1" applyBorder="1" applyAlignment="1">
      <alignment horizontal="left" vertical="center" wrapText="1"/>
    </xf>
    <xf numFmtId="0" fontId="10" fillId="15" borderId="0" xfId="0" applyFont="1" applyFill="1"/>
    <xf numFmtId="165" fontId="3" fillId="2" borderId="1" xfId="0" applyNumberFormat="1" applyFont="1" applyFill="1" applyBorder="1" applyAlignment="1">
      <alignment horizontal="right" vertical="center"/>
    </xf>
    <xf numFmtId="0" fontId="49" fillId="3" borderId="2" xfId="0" applyFont="1" applyFill="1" applyBorder="1" applyAlignment="1">
      <alignment vertical="center" wrapText="1"/>
    </xf>
    <xf numFmtId="0" fontId="12" fillId="4" borderId="0" xfId="0" applyFont="1" applyFill="1"/>
    <xf numFmtId="170" fontId="12" fillId="4" borderId="0" xfId="0" applyNumberFormat="1" applyFont="1" applyFill="1"/>
    <xf numFmtId="165" fontId="7" fillId="3" borderId="2" xfId="0" applyNumberFormat="1" applyFont="1" applyFill="1" applyBorder="1" applyAlignment="1">
      <alignment horizontal="right" vertical="center"/>
    </xf>
    <xf numFmtId="166" fontId="3" fillId="3" borderId="2" xfId="0" applyNumberFormat="1" applyFont="1" applyFill="1" applyBorder="1" applyAlignment="1" applyProtection="1">
      <alignment horizontal="center" vertical="center"/>
      <protection locked="0"/>
    </xf>
    <xf numFmtId="164" fontId="8" fillId="3" borderId="2" xfId="0" applyNumberFormat="1" applyFont="1" applyFill="1" applyBorder="1" applyAlignment="1" applyProtection="1">
      <alignment horizontal="right" vertical="center"/>
      <protection locked="0"/>
    </xf>
    <xf numFmtId="170" fontId="9" fillId="4" borderId="0" xfId="0" applyNumberFormat="1" applyFont="1" applyFill="1"/>
    <xf numFmtId="0" fontId="9" fillId="4" borderId="0" xfId="0" applyFont="1" applyFill="1"/>
    <xf numFmtId="0" fontId="4" fillId="0" borderId="0" xfId="0" applyFont="1" applyAlignment="1">
      <alignment horizontal="left" vertical="center" wrapText="1"/>
    </xf>
    <xf numFmtId="0" fontId="8" fillId="0" borderId="0" xfId="0" applyFont="1" applyAlignment="1">
      <alignment horizontal="center" vertical="center"/>
    </xf>
    <xf numFmtId="165" fontId="3" fillId="2" borderId="0" xfId="0" applyNumberFormat="1" applyFont="1" applyFill="1" applyAlignment="1">
      <alignment horizontal="right" vertical="center"/>
    </xf>
    <xf numFmtId="166" fontId="3" fillId="3" borderId="0" xfId="0" applyNumberFormat="1" applyFont="1" applyFill="1" applyAlignment="1">
      <alignment horizontal="right" vertical="center"/>
    </xf>
    <xf numFmtId="164" fontId="3" fillId="2" borderId="0" xfId="0" applyNumberFormat="1" applyFont="1" applyFill="1" applyAlignment="1">
      <alignment horizontal="right" vertical="center"/>
    </xf>
    <xf numFmtId="165" fontId="3" fillId="3" borderId="0" xfId="0" applyNumberFormat="1" applyFont="1" applyFill="1" applyAlignment="1">
      <alignment horizontal="right" vertical="center"/>
    </xf>
    <xf numFmtId="164" fontId="3" fillId="16" borderId="0" xfId="0" applyNumberFormat="1" applyFont="1" applyFill="1" applyAlignment="1">
      <alignment horizontal="right" vertical="center"/>
    </xf>
    <xf numFmtId="164" fontId="3" fillId="3" borderId="0" xfId="0" applyNumberFormat="1" applyFont="1" applyFill="1" applyAlignment="1">
      <alignment horizontal="right" vertical="center"/>
    </xf>
    <xf numFmtId="0" fontId="51" fillId="0" borderId="0" xfId="0" applyFont="1" applyAlignment="1">
      <alignment horizontal="left" wrapText="1"/>
    </xf>
    <xf numFmtId="0" fontId="51" fillId="0" borderId="0" xfId="0" applyFont="1" applyAlignment="1">
      <alignment horizontal="center"/>
    </xf>
    <xf numFmtId="0" fontId="52" fillId="3" borderId="0" xfId="0" applyFont="1" applyFill="1" applyAlignment="1">
      <alignment horizontal="center"/>
    </xf>
    <xf numFmtId="165" fontId="52" fillId="2" borderId="0" xfId="0" applyNumberFormat="1" applyFont="1" applyFill="1" applyAlignment="1">
      <alignment horizontal="right" vertical="center"/>
    </xf>
    <xf numFmtId="166" fontId="52" fillId="3" borderId="0" xfId="0" applyNumberFormat="1" applyFont="1" applyFill="1" applyAlignment="1">
      <alignment horizontal="right" vertical="center"/>
    </xf>
    <xf numFmtId="164" fontId="51" fillId="3" borderId="0" xfId="0" applyNumberFormat="1" applyFont="1" applyFill="1" applyAlignment="1">
      <alignment horizontal="right" vertical="center"/>
    </xf>
    <xf numFmtId="165" fontId="52" fillId="3" borderId="0" xfId="0" applyNumberFormat="1" applyFont="1" applyFill="1" applyAlignment="1">
      <alignment horizontal="right" vertical="center"/>
    </xf>
    <xf numFmtId="0" fontId="52" fillId="0" borderId="0" xfId="0" applyFont="1"/>
    <xf numFmtId="170" fontId="52" fillId="0" borderId="0" xfId="0" applyNumberFormat="1" applyFont="1"/>
    <xf numFmtId="0" fontId="3" fillId="2" borderId="0" xfId="0" applyFont="1" applyFill="1" applyAlignment="1">
      <alignment horizontal="center" vertical="center"/>
    </xf>
    <xf numFmtId="166" fontId="3" fillId="3" borderId="0" xfId="0" applyNumberFormat="1" applyFont="1" applyFill="1" applyAlignment="1">
      <alignment horizontal="center" vertical="center"/>
    </xf>
    <xf numFmtId="0" fontId="3" fillId="3" borderId="0" xfId="0" applyFont="1" applyFill="1" applyAlignment="1">
      <alignment horizontal="center" vertical="center"/>
    </xf>
    <xf numFmtId="9" fontId="3" fillId="3" borderId="0" xfId="0" applyNumberFormat="1" applyFont="1" applyFill="1" applyAlignment="1">
      <alignment horizontal="center" vertical="center"/>
    </xf>
    <xf numFmtId="164" fontId="0" fillId="3" borderId="2" xfId="0" applyNumberFormat="1" applyFont="1" applyFill="1" applyBorder="1" applyAlignment="1" applyProtection="1">
      <alignment horizontal="center" vertical="center" wrapText="1"/>
      <protection locked="0"/>
    </xf>
    <xf numFmtId="164" fontId="7" fillId="3" borderId="3" xfId="0" applyNumberFormat="1" applyFont="1" applyFill="1" applyBorder="1" applyAlignment="1">
      <alignment horizontal="center" vertical="center"/>
    </xf>
    <xf numFmtId="164" fontId="21" fillId="3" borderId="2" xfId="0" applyNumberFormat="1" applyFont="1" applyFill="1" applyBorder="1" applyAlignment="1">
      <alignment horizontal="center" vertical="center"/>
    </xf>
    <xf numFmtId="164" fontId="21" fillId="3" borderId="2" xfId="0" applyNumberFormat="1" applyFont="1" applyFill="1" applyBorder="1" applyAlignment="1" applyProtection="1">
      <alignment horizontal="center" vertical="center"/>
      <protection locked="0"/>
    </xf>
    <xf numFmtId="166" fontId="3" fillId="3" borderId="4"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10" fillId="3" borderId="2" xfId="0" applyNumberFormat="1" applyFont="1" applyFill="1" applyBorder="1" applyAlignment="1" applyProtection="1">
      <alignment horizontal="center" vertical="center"/>
      <protection locked="0"/>
    </xf>
    <xf numFmtId="166" fontId="0" fillId="3" borderId="2" xfId="0" applyNumberFormat="1" applyFont="1" applyFill="1" applyBorder="1" applyAlignment="1">
      <alignment horizontal="right" vertical="center"/>
    </xf>
    <xf numFmtId="164" fontId="0" fillId="3" borderId="1" xfId="0" applyNumberFormat="1" applyFont="1" applyFill="1" applyBorder="1" applyAlignment="1">
      <alignment horizontal="center" vertical="center"/>
    </xf>
    <xf numFmtId="164" fontId="41" fillId="3" borderId="2" xfId="0" applyNumberFormat="1" applyFont="1" applyFill="1" applyBorder="1" applyAlignment="1">
      <alignment horizontal="center" vertical="center"/>
    </xf>
    <xf numFmtId="166" fontId="41" fillId="3" borderId="2" xfId="0" applyNumberFormat="1" applyFont="1" applyFill="1" applyBorder="1" applyAlignment="1">
      <alignment horizontal="center" vertical="center"/>
    </xf>
    <xf numFmtId="166" fontId="18" fillId="3" borderId="1" xfId="0" applyNumberFormat="1" applyFont="1" applyFill="1" applyBorder="1" applyAlignment="1">
      <alignment horizontal="right" vertical="center"/>
    </xf>
    <xf numFmtId="166" fontId="3" fillId="2" borderId="3" xfId="0" applyNumberFormat="1" applyFont="1" applyFill="1" applyBorder="1" applyAlignment="1">
      <alignment horizontal="right" vertical="center"/>
    </xf>
    <xf numFmtId="166" fontId="0" fillId="2" borderId="3" xfId="0" applyNumberFormat="1" applyFill="1" applyBorder="1" applyAlignment="1">
      <alignment horizontal="right" vertical="center"/>
    </xf>
    <xf numFmtId="165" fontId="8" fillId="3" borderId="5"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6" fontId="12" fillId="3" borderId="5" xfId="0" applyNumberFormat="1" applyFont="1" applyFill="1" applyBorder="1" applyAlignment="1">
      <alignment horizontal="center" vertical="center"/>
    </xf>
    <xf numFmtId="166" fontId="7" fillId="3" borderId="5" xfId="0" applyNumberFormat="1" applyFont="1" applyFill="1" applyBorder="1" applyAlignment="1">
      <alignment horizontal="center" vertical="center"/>
    </xf>
    <xf numFmtId="166" fontId="0" fillId="3" borderId="5" xfId="0" applyNumberFormat="1" applyFont="1" applyFill="1" applyBorder="1" applyAlignment="1">
      <alignment horizontal="center" vertical="center"/>
    </xf>
    <xf numFmtId="164" fontId="8" fillId="3" borderId="5" xfId="0" applyNumberFormat="1" applyFont="1" applyFill="1" applyBorder="1" applyAlignment="1" applyProtection="1">
      <alignment horizontal="center" vertical="center"/>
      <protection locked="0"/>
    </xf>
    <xf numFmtId="166" fontId="3" fillId="3" borderId="5" xfId="0" applyNumberFormat="1" applyFont="1" applyFill="1" applyBorder="1" applyAlignment="1">
      <alignment horizontal="center" vertical="center"/>
    </xf>
    <xf numFmtId="166" fontId="8" fillId="3" borderId="5"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3" fillId="3" borderId="5" xfId="0" applyNumberFormat="1" applyFont="1" applyFill="1" applyBorder="1" applyAlignment="1" applyProtection="1">
      <alignment horizontal="center" vertical="center"/>
      <protection locked="0"/>
    </xf>
    <xf numFmtId="166" fontId="4" fillId="3" borderId="5" xfId="0" applyNumberFormat="1" applyFont="1" applyFill="1" applyBorder="1" applyAlignment="1">
      <alignment horizontal="center" vertical="center"/>
    </xf>
    <xf numFmtId="164" fontId="10" fillId="3" borderId="5" xfId="0" applyNumberFormat="1" applyFont="1" applyFill="1" applyBorder="1" applyAlignment="1">
      <alignment horizontal="center" vertical="center"/>
    </xf>
    <xf numFmtId="166" fontId="21" fillId="3" borderId="5" xfId="0" applyNumberFormat="1" applyFont="1" applyFill="1" applyBorder="1" applyAlignment="1">
      <alignment horizontal="center" vertical="center"/>
    </xf>
    <xf numFmtId="164" fontId="3" fillId="3" borderId="11" xfId="0" applyNumberFormat="1" applyFont="1" applyFill="1" applyBorder="1" applyAlignment="1" applyProtection="1">
      <alignment horizontal="center" vertical="center"/>
      <protection locked="0"/>
    </xf>
    <xf numFmtId="164" fontId="3" fillId="3" borderId="11" xfId="0" applyNumberFormat="1" applyFont="1" applyFill="1" applyBorder="1" applyAlignment="1">
      <alignment horizontal="right" vertical="center"/>
    </xf>
    <xf numFmtId="164" fontId="3" fillId="3" borderId="11" xfId="0" applyNumberFormat="1" applyFont="1" applyFill="1" applyBorder="1" applyAlignment="1">
      <alignment horizontal="center" vertical="center"/>
    </xf>
    <xf numFmtId="166" fontId="3" fillId="3" borderId="5" xfId="0" applyNumberFormat="1" applyFont="1" applyFill="1" applyBorder="1" applyAlignment="1">
      <alignment horizontal="right" vertical="center"/>
    </xf>
    <xf numFmtId="164" fontId="3" fillId="3" borderId="12" xfId="0" applyNumberFormat="1" applyFont="1" applyFill="1" applyBorder="1" applyAlignment="1">
      <alignment horizontal="center" vertical="center"/>
    </xf>
    <xf numFmtId="164" fontId="3" fillId="3" borderId="6" xfId="0" applyNumberFormat="1" applyFont="1" applyFill="1" applyBorder="1" applyAlignment="1">
      <alignment vertical="center"/>
    </xf>
    <xf numFmtId="166" fontId="10" fillId="3" borderId="5" xfId="0" applyNumberFormat="1" applyFont="1" applyFill="1" applyBorder="1" applyAlignment="1">
      <alignment horizontal="center" vertical="center"/>
    </xf>
    <xf numFmtId="166" fontId="24" fillId="3" borderId="5" xfId="0" applyNumberFormat="1" applyFont="1" applyFill="1" applyBorder="1" applyAlignment="1">
      <alignment horizontal="center" vertical="center"/>
    </xf>
    <xf numFmtId="164" fontId="25" fillId="3" borderId="5" xfId="0" applyNumberFormat="1" applyFont="1" applyFill="1" applyBorder="1" applyAlignment="1">
      <alignment horizontal="center" vertical="center"/>
    </xf>
    <xf numFmtId="166" fontId="19" fillId="3" borderId="5" xfId="0" applyNumberFormat="1" applyFont="1" applyFill="1" applyBorder="1" applyAlignment="1">
      <alignment horizontal="center" vertical="center"/>
    </xf>
    <xf numFmtId="164" fontId="3" fillId="3" borderId="12" xfId="0" applyNumberFormat="1" applyFont="1" applyFill="1" applyBorder="1" applyAlignment="1" applyProtection="1">
      <alignment horizontal="center" vertical="center"/>
      <protection locked="0"/>
    </xf>
    <xf numFmtId="164" fontId="3" fillId="3" borderId="12" xfId="0" applyNumberFormat="1" applyFont="1" applyFill="1" applyBorder="1" applyAlignment="1" applyProtection="1">
      <alignment horizontal="right" vertical="center"/>
      <protection locked="0"/>
    </xf>
    <xf numFmtId="164" fontId="3" fillId="3" borderId="6" xfId="0" applyNumberFormat="1" applyFont="1" applyFill="1" applyBorder="1" applyAlignment="1" applyProtection="1">
      <alignment horizontal="center" vertical="center"/>
      <protection locked="0"/>
    </xf>
    <xf numFmtId="164" fontId="4" fillId="3" borderId="5"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horizontal="center" vertical="center"/>
      <protection locked="0"/>
    </xf>
    <xf numFmtId="164" fontId="10"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64" fontId="3" fillId="3" borderId="5" xfId="0" applyNumberFormat="1" applyFont="1" applyFill="1" applyBorder="1" applyAlignment="1" applyProtection="1">
      <alignment horizontal="center" vertical="center" wrapText="1"/>
      <protection locked="0"/>
    </xf>
    <xf numFmtId="164" fontId="4" fillId="3" borderId="5" xfId="0" applyNumberFormat="1" applyFont="1" applyFill="1" applyBorder="1" applyAlignment="1" applyProtection="1">
      <alignment horizontal="center" vertical="center" wrapText="1"/>
      <protection locked="0"/>
    </xf>
    <xf numFmtId="164" fontId="8" fillId="3" borderId="5" xfId="0" applyNumberFormat="1" applyFont="1" applyFill="1" applyBorder="1" applyAlignment="1">
      <alignment horizontal="center" vertical="center" wrapText="1"/>
    </xf>
    <xf numFmtId="166" fontId="5" fillId="3" borderId="5" xfId="0" applyNumberFormat="1" applyFont="1" applyFill="1" applyBorder="1" applyAlignment="1">
      <alignment horizontal="center" vertical="center"/>
    </xf>
    <xf numFmtId="164" fontId="7" fillId="3" borderId="12" xfId="0" applyNumberFormat="1" applyFont="1" applyFill="1" applyBorder="1" applyAlignment="1" applyProtection="1">
      <alignment horizontal="center" vertical="center"/>
      <protection locked="0"/>
    </xf>
    <xf numFmtId="164" fontId="10" fillId="3" borderId="5" xfId="0" applyNumberFormat="1" applyFont="1" applyFill="1" applyBorder="1" applyAlignment="1" applyProtection="1">
      <alignment horizontal="center" vertical="center"/>
      <protection locked="0"/>
    </xf>
    <xf numFmtId="164" fontId="3"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xf>
    <xf numFmtId="166" fontId="10" fillId="3" borderId="6" xfId="0" applyNumberFormat="1" applyFont="1" applyFill="1" applyBorder="1" applyAlignment="1">
      <alignment horizontal="center" vertical="center"/>
    </xf>
    <xf numFmtId="166" fontId="47" fillId="3" borderId="6" xfId="0" applyNumberFormat="1" applyFont="1" applyFill="1" applyBorder="1" applyAlignment="1">
      <alignment horizontal="center" vertical="center"/>
    </xf>
    <xf numFmtId="164" fontId="0" fillId="3" borderId="5" xfId="0" applyNumberFormat="1" applyFont="1" applyFill="1" applyBorder="1" applyAlignment="1">
      <alignment horizontal="center" vertical="center"/>
    </xf>
    <xf numFmtId="166" fontId="3" fillId="3" borderId="5" xfId="0" applyNumberFormat="1" applyFont="1" applyFill="1" applyBorder="1" applyAlignment="1" applyProtection="1">
      <alignment horizontal="center" vertical="center"/>
      <protection locked="0"/>
    </xf>
    <xf numFmtId="1" fontId="3" fillId="3"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66" fontId="3" fillId="5" borderId="1" xfId="0" applyNumberFormat="1" applyFont="1" applyFill="1" applyBorder="1" applyAlignment="1">
      <alignment horizontal="right" vertical="center"/>
    </xf>
    <xf numFmtId="0" fontId="3" fillId="0" borderId="1" xfId="0" applyFont="1" applyBorder="1" applyAlignment="1" applyProtection="1">
      <alignment vertical="center" wrapText="1"/>
      <protection hidden="1"/>
    </xf>
    <xf numFmtId="1" fontId="3" fillId="0" borderId="1" xfId="0" applyNumberFormat="1" applyFont="1" applyBorder="1" applyAlignment="1" applyProtection="1">
      <alignment horizontal="center" vertical="center"/>
      <protection hidden="1"/>
    </xf>
    <xf numFmtId="166" fontId="0" fillId="3" borderId="1" xfId="0" applyNumberFormat="1" applyFill="1" applyBorder="1" applyAlignment="1">
      <alignment horizontal="right" vertical="center"/>
    </xf>
    <xf numFmtId="166" fontId="3" fillId="3" borderId="1" xfId="0" applyNumberFormat="1" applyFont="1" applyFill="1" applyBorder="1" applyAlignment="1">
      <alignment horizontal="right" vertical="center"/>
    </xf>
    <xf numFmtId="1" fontId="3" fillId="3" borderId="12" xfId="0" applyNumberFormat="1" applyFont="1" applyFill="1" applyBorder="1" applyAlignment="1">
      <alignment horizontal="center" vertical="center"/>
    </xf>
    <xf numFmtId="166"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3" fillId="3" borderId="1" xfId="0" applyFont="1" applyFill="1" applyBorder="1" applyAlignment="1">
      <alignment vertical="center" wrapText="1"/>
    </xf>
    <xf numFmtId="165" fontId="8" fillId="3" borderId="1" xfId="0" applyNumberFormat="1" applyFont="1" applyFill="1" applyBorder="1" applyAlignment="1">
      <alignment horizontal="center" vertical="center"/>
    </xf>
    <xf numFmtId="165" fontId="17" fillId="3" borderId="1" xfId="0"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166" fontId="5" fillId="0" borderId="1" xfId="0" applyNumberFormat="1" applyFont="1" applyBorder="1" applyAlignment="1">
      <alignment horizontal="right" vertical="center"/>
    </xf>
    <xf numFmtId="0" fontId="3" fillId="3" borderId="1" xfId="0" applyFont="1" applyFill="1" applyBorder="1" applyAlignment="1" applyProtection="1">
      <alignment horizontal="left" vertical="center" wrapText="1"/>
      <protection hidden="1"/>
    </xf>
    <xf numFmtId="1" fontId="3" fillId="3" borderId="1" xfId="0" applyNumberFormat="1" applyFont="1" applyFill="1" applyBorder="1" applyAlignment="1" applyProtection="1">
      <alignment horizontal="center" vertical="center"/>
      <protection hidden="1"/>
    </xf>
    <xf numFmtId="166" fontId="5" fillId="3" borderId="1" xfId="0" applyNumberFormat="1" applyFont="1" applyFill="1" applyBorder="1" applyAlignment="1">
      <alignment horizontal="right" vertical="center"/>
    </xf>
    <xf numFmtId="165" fontId="3" fillId="3" borderId="1" xfId="0" applyNumberFormat="1" applyFont="1" applyFill="1" applyBorder="1" applyAlignment="1">
      <alignment horizontal="right" vertical="center"/>
    </xf>
    <xf numFmtId="49" fontId="3" fillId="0" borderId="1" xfId="0" applyNumberFormat="1" applyFont="1" applyBorder="1" applyAlignment="1">
      <alignment horizontal="left" vertical="center" wrapText="1"/>
    </xf>
    <xf numFmtId="0" fontId="3" fillId="3" borderId="1" xfId="0" applyFont="1" applyFill="1" applyBorder="1" applyAlignment="1">
      <alignment horizontal="left" vertical="center" wrapText="1"/>
    </xf>
    <xf numFmtId="166" fontId="0" fillId="0" borderId="1" xfId="0" applyNumberFormat="1" applyBorder="1" applyAlignment="1">
      <alignment horizontal="right" vertical="center"/>
    </xf>
    <xf numFmtId="49" fontId="3" fillId="0" borderId="4" xfId="0" applyNumberFormat="1" applyFont="1" applyBorder="1" applyAlignment="1">
      <alignment horizontal="left" vertical="center" wrapText="1"/>
    </xf>
    <xf numFmtId="1" fontId="3" fillId="0" borderId="4" xfId="0" applyNumberFormat="1" applyFont="1" applyBorder="1" applyAlignment="1">
      <alignment horizontal="center" vertical="center"/>
    </xf>
    <xf numFmtId="166" fontId="3" fillId="0" borderId="4" xfId="0" applyNumberFormat="1" applyFont="1" applyBorder="1" applyAlignment="1">
      <alignment horizontal="right" vertical="center"/>
    </xf>
    <xf numFmtId="165" fontId="3" fillId="0" borderId="4" xfId="0" applyNumberFormat="1" applyFont="1" applyBorder="1" applyAlignment="1">
      <alignment horizontal="right" vertical="center"/>
    </xf>
    <xf numFmtId="49" fontId="3" fillId="0" borderId="1" xfId="0" applyNumberFormat="1" applyFont="1" applyBorder="1" applyAlignment="1" applyProtection="1">
      <alignment horizontal="left" vertical="center" wrapText="1"/>
      <protection hidden="1"/>
    </xf>
    <xf numFmtId="1" fontId="15" fillId="0" borderId="1" xfId="0" applyNumberFormat="1" applyFont="1" applyBorder="1" applyAlignment="1" applyProtection="1">
      <alignment horizontal="center" vertical="center"/>
      <protection hidden="1"/>
    </xf>
    <xf numFmtId="166" fontId="20" fillId="3" borderId="1" xfId="0" applyNumberFormat="1" applyFont="1" applyFill="1" applyBorder="1" applyAlignment="1">
      <alignment horizontal="right" vertical="center"/>
    </xf>
    <xf numFmtId="166" fontId="3" fillId="2" borderId="4" xfId="0" applyNumberFormat="1" applyFont="1" applyFill="1" applyBorder="1" applyAlignment="1">
      <alignment horizontal="right" vertical="center"/>
    </xf>
    <xf numFmtId="166" fontId="0" fillId="2" borderId="4" xfId="0" applyNumberFormat="1" applyFill="1" applyBorder="1" applyAlignment="1">
      <alignment horizontal="right" vertical="center"/>
    </xf>
    <xf numFmtId="0" fontId="3" fillId="0" borderId="1" xfId="0" applyFont="1" applyBorder="1" applyAlignment="1">
      <alignment wrapText="1"/>
    </xf>
    <xf numFmtId="0" fontId="3" fillId="0" borderId="1" xfId="0" applyFont="1" applyBorder="1" applyAlignment="1">
      <alignment horizontal="center" vertical="center"/>
    </xf>
    <xf numFmtId="166" fontId="3" fillId="2" borderId="1" xfId="0" applyNumberFormat="1" applyFont="1" applyFill="1" applyBorder="1" applyAlignment="1">
      <alignment horizontal="right" vertical="center"/>
    </xf>
    <xf numFmtId="164" fontId="3" fillId="2" borderId="1" xfId="0" applyNumberFormat="1" applyFont="1" applyFill="1" applyBorder="1" applyAlignment="1">
      <alignment horizontal="center" vertical="center"/>
    </xf>
    <xf numFmtId="164" fontId="3" fillId="2" borderId="1" xfId="0" applyNumberFormat="1" applyFont="1" applyFill="1" applyBorder="1" applyAlignment="1">
      <alignment vertical="center"/>
    </xf>
    <xf numFmtId="0" fontId="3" fillId="3" borderId="1" xfId="0" applyFont="1" applyFill="1" applyBorder="1" applyAlignment="1">
      <alignment wrapText="1"/>
    </xf>
    <xf numFmtId="0" fontId="3" fillId="3" borderId="1" xfId="0" applyFont="1" applyFill="1" applyBorder="1" applyAlignment="1">
      <alignment horizontal="center" vertical="center"/>
    </xf>
    <xf numFmtId="164" fontId="0" fillId="0" borderId="1" xfId="0" applyNumberFormat="1" applyFont="1" applyBorder="1" applyAlignment="1">
      <alignment horizontal="right" vertical="center"/>
    </xf>
    <xf numFmtId="166" fontId="0" fillId="0" borderId="1" xfId="0" applyNumberFormat="1" applyFont="1" applyBorder="1" applyAlignment="1">
      <alignment horizontal="right" vertical="center"/>
    </xf>
    <xf numFmtId="166" fontId="0" fillId="3" borderId="1" xfId="0" applyNumberFormat="1" applyFill="1" applyBorder="1" applyAlignment="1">
      <alignment horizontal="center" vertical="center"/>
    </xf>
    <xf numFmtId="166" fontId="0" fillId="3" borderId="1" xfId="0" applyNumberFormat="1" applyFont="1" applyFill="1" applyBorder="1" applyAlignment="1">
      <alignment horizontal="center" vertical="center"/>
    </xf>
    <xf numFmtId="0" fontId="0" fillId="3" borderId="1" xfId="0" applyFill="1" applyBorder="1" applyAlignment="1">
      <alignment wrapText="1"/>
    </xf>
    <xf numFmtId="0" fontId="0" fillId="3" borderId="1" xfId="0" applyFill="1" applyBorder="1" applyAlignment="1">
      <alignment horizontal="center" vertical="center"/>
    </xf>
    <xf numFmtId="0" fontId="11" fillId="3" borderId="1" xfId="0" applyFont="1" applyFill="1" applyBorder="1" applyAlignment="1">
      <alignment horizontal="center" vertical="center" wrapText="1"/>
    </xf>
    <xf numFmtId="0" fontId="3" fillId="2" borderId="1" xfId="0" applyFont="1" applyFill="1" applyBorder="1" applyAlignment="1">
      <alignment horizontal="centerContinuous" vertical="center"/>
    </xf>
    <xf numFmtId="164" fontId="10" fillId="3" borderId="1" xfId="0" applyNumberFormat="1" applyFont="1" applyFill="1" applyBorder="1" applyAlignment="1">
      <alignment horizontal="right" vertical="center"/>
    </xf>
    <xf numFmtId="49" fontId="3" fillId="0" borderId="1" xfId="0" applyNumberFormat="1" applyFont="1" applyBorder="1" applyAlignment="1" applyProtection="1">
      <alignment horizontal="center" vertical="center"/>
      <protection hidden="1"/>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166" fontId="18" fillId="2" borderId="1" xfId="0" applyNumberFormat="1" applyFont="1" applyFill="1" applyBorder="1" applyAlignment="1">
      <alignment horizontal="right" vertical="center"/>
    </xf>
    <xf numFmtId="0" fontId="0" fillId="3" borderId="1" xfId="0" applyFill="1" applyBorder="1" applyAlignment="1">
      <alignment horizontal="left" vertical="center" wrapText="1"/>
    </xf>
    <xf numFmtId="0" fontId="3" fillId="0" borderId="1" xfId="0" applyFont="1" applyBorder="1" applyAlignment="1" applyProtection="1">
      <alignment horizontal="left" vertical="center" wrapText="1"/>
      <protection hidden="1"/>
    </xf>
    <xf numFmtId="49" fontId="0" fillId="0" borderId="1" xfId="0" applyNumberFormat="1" applyBorder="1" applyAlignment="1">
      <alignment horizontal="center" vertical="center"/>
    </xf>
    <xf numFmtId="166" fontId="7" fillId="2" borderId="1" xfId="0" applyNumberFormat="1" applyFont="1" applyFill="1" applyBorder="1" applyAlignment="1">
      <alignment horizontal="right" vertical="center"/>
    </xf>
    <xf numFmtId="166" fontId="19" fillId="2" borderId="1" xfId="0" applyNumberFormat="1" applyFont="1" applyFill="1" applyBorder="1" applyAlignment="1">
      <alignment horizontal="right" vertical="center"/>
    </xf>
    <xf numFmtId="166" fontId="19" fillId="3" borderId="1"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166" fontId="19" fillId="3" borderId="1" xfId="0" applyNumberFormat="1" applyFont="1" applyFill="1" applyBorder="1" applyAlignment="1">
      <alignment horizontal="right" vertical="center"/>
    </xf>
    <xf numFmtId="0" fontId="3" fillId="2" borderId="1" xfId="0" applyFont="1" applyFill="1" applyBorder="1" applyAlignment="1">
      <alignment horizontal="left" vertical="center" wrapText="1"/>
    </xf>
    <xf numFmtId="49" fontId="12" fillId="3" borderId="1" xfId="0" applyNumberFormat="1" applyFont="1" applyFill="1" applyBorder="1" applyAlignment="1">
      <alignment horizontal="left" vertical="center" wrapText="1"/>
    </xf>
    <xf numFmtId="166" fontId="3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wrapText="1"/>
    </xf>
    <xf numFmtId="164" fontId="32" fillId="3" borderId="1" xfId="0" applyNumberFormat="1" applyFont="1" applyFill="1" applyBorder="1"/>
    <xf numFmtId="165" fontId="3" fillId="2" borderId="1" xfId="0" applyNumberFormat="1" applyFont="1" applyFill="1" applyBorder="1" applyAlignment="1" applyProtection="1">
      <alignment horizontal="right" vertical="center" wrapText="1"/>
      <protection locked="0"/>
    </xf>
    <xf numFmtId="0" fontId="3" fillId="0" borderId="1" xfId="0" applyFont="1" applyBorder="1" applyAlignment="1">
      <alignment horizontal="center" vertical="center" wrapText="1"/>
    </xf>
    <xf numFmtId="164" fontId="3" fillId="2" borderId="1" xfId="0" applyNumberFormat="1"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hidden="1"/>
    </xf>
    <xf numFmtId="0" fontId="0" fillId="2" borderId="1" xfId="0" applyFill="1" applyBorder="1" applyAlignment="1" applyProtection="1">
      <alignment horizontal="left" vertical="center" wrapText="1"/>
      <protection hidden="1"/>
    </xf>
    <xf numFmtId="0" fontId="0" fillId="0" borderId="1" xfId="0" applyBorder="1" applyAlignment="1">
      <alignment horizontal="center" vertical="center" wrapText="1"/>
    </xf>
    <xf numFmtId="164" fontId="12" fillId="3" borderId="1" xfId="0" applyNumberFormat="1" applyFont="1" applyFill="1" applyBorder="1" applyAlignment="1" applyProtection="1">
      <alignment horizontal="right" vertical="center" wrapText="1"/>
      <protection locked="0"/>
    </xf>
    <xf numFmtId="164" fontId="19" fillId="0" borderId="1" xfId="0" applyNumberFormat="1" applyFont="1" applyBorder="1" applyAlignment="1">
      <alignment horizontal="right" vertical="center"/>
    </xf>
    <xf numFmtId="166" fontId="18" fillId="0" borderId="1" xfId="0" applyNumberFormat="1" applyFont="1" applyBorder="1" applyAlignment="1">
      <alignment horizontal="right" vertical="center"/>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166"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2" borderId="4" xfId="0" applyNumberFormat="1" applyFont="1" applyFill="1" applyBorder="1" applyAlignment="1" applyProtection="1">
      <alignment horizontal="right" vertical="center"/>
      <protection locked="0"/>
    </xf>
    <xf numFmtId="164" fontId="0" fillId="3" borderId="4" xfId="0" applyNumberFormat="1" applyFill="1" applyBorder="1" applyAlignment="1" applyProtection="1">
      <alignment horizontal="right" vertical="center"/>
      <protection locked="0"/>
    </xf>
    <xf numFmtId="0" fontId="13" fillId="2" borderId="4" xfId="0" applyFont="1" applyFill="1" applyBorder="1" applyAlignment="1" applyProtection="1">
      <alignment horizontal="left" vertical="center" wrapText="1"/>
      <protection hidden="1"/>
    </xf>
    <xf numFmtId="0" fontId="3" fillId="2" borderId="1" xfId="0" applyFont="1" applyFill="1" applyBorder="1" applyAlignment="1">
      <alignment horizontal="center" vertical="center"/>
    </xf>
    <xf numFmtId="166" fontId="8" fillId="2" borderId="1" xfId="0" applyNumberFormat="1" applyFont="1" applyFill="1" applyBorder="1" applyAlignment="1">
      <alignment horizontal="right" vertical="center"/>
    </xf>
    <xf numFmtId="166" fontId="10" fillId="2" borderId="1" xfId="0" applyNumberFormat="1" applyFont="1" applyFill="1" applyBorder="1" applyAlignment="1">
      <alignment horizontal="right" vertical="center"/>
    </xf>
    <xf numFmtId="49" fontId="43" fillId="3" borderId="1" xfId="0" applyNumberFormat="1" applyFont="1" applyFill="1" applyBorder="1" applyAlignment="1" applyProtection="1">
      <alignment horizontal="left" vertical="center" wrapText="1"/>
      <protection hidden="1"/>
    </xf>
    <xf numFmtId="0" fontId="43" fillId="3" borderId="1" xfId="0" applyFont="1" applyFill="1" applyBorder="1" applyAlignment="1">
      <alignment horizontal="center" vertical="center"/>
    </xf>
    <xf numFmtId="164" fontId="2" fillId="0" borderId="1" xfId="0" applyNumberFormat="1" applyFont="1" applyBorder="1"/>
    <xf numFmtId="164" fontId="43" fillId="0" borderId="1" xfId="0" applyNumberFormat="1" applyFont="1" applyBorder="1" applyAlignment="1">
      <alignment horizontal="right" vertical="center"/>
    </xf>
    <xf numFmtId="166" fontId="42" fillId="0" borderId="1" xfId="0" applyNumberFormat="1" applyFont="1" applyBorder="1" applyAlignment="1">
      <alignment horizontal="right" vertical="center"/>
    </xf>
    <xf numFmtId="0" fontId="5" fillId="0" borderId="1" xfId="0" applyFont="1" applyBorder="1" applyAlignment="1">
      <alignment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64" fontId="2" fillId="2" borderId="1" xfId="0" applyNumberFormat="1" applyFont="1" applyFill="1" applyBorder="1"/>
    <xf numFmtId="164" fontId="2" fillId="3" borderId="1" xfId="0" applyNumberFormat="1" applyFont="1" applyFill="1" applyBorder="1"/>
    <xf numFmtId="0" fontId="11" fillId="0" borderId="4" xfId="0" applyFont="1" applyBorder="1" applyAlignment="1">
      <alignment horizontal="center" vertical="center" wrapText="1"/>
    </xf>
    <xf numFmtId="1" fontId="0" fillId="0" borderId="4" xfId="0" applyNumberFormat="1" applyBorder="1" applyAlignment="1">
      <alignment horizontal="center" vertical="center"/>
    </xf>
    <xf numFmtId="1" fontId="3" fillId="3"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xf>
    <xf numFmtId="0" fontId="3" fillId="0" borderId="3" xfId="0" applyFont="1" applyBorder="1" applyAlignment="1" applyProtection="1">
      <alignment horizontal="left" vertical="center" wrapText="1"/>
      <protection hidden="1"/>
    </xf>
    <xf numFmtId="1" fontId="3" fillId="0" borderId="3" xfId="0" applyNumberFormat="1" applyFont="1" applyBorder="1" applyAlignment="1" applyProtection="1">
      <alignment horizontal="center" vertical="center"/>
      <protection hidden="1"/>
    </xf>
    <xf numFmtId="166" fontId="0" fillId="0" borderId="3" xfId="0" applyNumberFormat="1" applyBorder="1" applyAlignment="1">
      <alignment horizontal="right" vertical="center"/>
    </xf>
    <xf numFmtId="165" fontId="0" fillId="0" borderId="3" xfId="0" applyNumberFormat="1" applyBorder="1" applyAlignment="1">
      <alignment horizontal="right" vertical="center"/>
    </xf>
    <xf numFmtId="0" fontId="3" fillId="0" borderId="3" xfId="0" applyFont="1" applyBorder="1" applyAlignment="1">
      <alignment horizontal="left" vertical="center" wrapText="1"/>
    </xf>
    <xf numFmtId="0" fontId="0" fillId="2" borderId="4" xfId="0" applyFill="1" applyBorder="1" applyAlignment="1">
      <alignment horizontal="left" vertical="center" wrapText="1"/>
    </xf>
    <xf numFmtId="166" fontId="0" fillId="3" borderId="4" xfId="0" applyNumberFormat="1" applyFill="1" applyBorder="1" applyAlignment="1">
      <alignment horizontal="right" vertical="center"/>
    </xf>
    <xf numFmtId="166" fontId="3" fillId="3" borderId="4" xfId="0" applyNumberFormat="1" applyFont="1" applyFill="1" applyBorder="1" applyAlignment="1">
      <alignment horizontal="right" vertical="center"/>
    </xf>
    <xf numFmtId="164" fontId="0" fillId="3" borderId="4" xfId="0" applyNumberFormat="1" applyFill="1" applyBorder="1" applyAlignment="1">
      <alignment horizontal="right" vertical="center"/>
    </xf>
    <xf numFmtId="164" fontId="0" fillId="0" borderId="4" xfId="0" applyNumberFormat="1" applyBorder="1" applyAlignment="1">
      <alignment horizontal="right" vertical="center"/>
    </xf>
    <xf numFmtId="0" fontId="3" fillId="3" borderId="3" xfId="0" applyFont="1" applyFill="1" applyBorder="1" applyAlignment="1" applyProtection="1">
      <alignment horizontal="justify" vertical="center" wrapText="1"/>
      <protection hidden="1"/>
    </xf>
    <xf numFmtId="1" fontId="3" fillId="3" borderId="3" xfId="0" applyNumberFormat="1" applyFont="1" applyFill="1" applyBorder="1" applyAlignment="1">
      <alignment horizontal="center" vertical="center"/>
    </xf>
    <xf numFmtId="166" fontId="0" fillId="3" borderId="3" xfId="0" applyNumberFormat="1" applyFont="1" applyFill="1" applyBorder="1" applyAlignment="1">
      <alignment horizontal="center" vertical="center"/>
    </xf>
    <xf numFmtId="166" fontId="3" fillId="3" borderId="3" xfId="0" applyNumberFormat="1" applyFont="1" applyFill="1" applyBorder="1" applyAlignment="1">
      <alignment horizontal="center" vertical="center"/>
    </xf>
    <xf numFmtId="0" fontId="3" fillId="0" borderId="3" xfId="0" applyFont="1" applyBorder="1" applyAlignment="1">
      <alignment horizontal="left" wrapText="1"/>
    </xf>
    <xf numFmtId="1" fontId="15" fillId="0" borderId="3" xfId="0" applyNumberFormat="1" applyFont="1" applyBorder="1" applyAlignment="1">
      <alignment horizontal="center" vertical="center" wrapText="1"/>
    </xf>
    <xf numFmtId="166" fontId="5" fillId="0" borderId="3" xfId="0" applyNumberFormat="1" applyFont="1" applyBorder="1" applyAlignment="1">
      <alignment horizontal="right" vertical="center"/>
    </xf>
    <xf numFmtId="164" fontId="0" fillId="0" borderId="3" xfId="0" applyNumberFormat="1" applyBorder="1" applyAlignment="1">
      <alignment horizontal="right" vertical="center"/>
    </xf>
    <xf numFmtId="49" fontId="7" fillId="0" borderId="3" xfId="0" applyNumberFormat="1" applyFont="1" applyBorder="1" applyAlignment="1">
      <alignment horizontal="left" vertical="center" wrapText="1"/>
    </xf>
    <xf numFmtId="1" fontId="7" fillId="0" borderId="3" xfId="0" applyNumberFormat="1" applyFont="1" applyBorder="1" applyAlignment="1">
      <alignment horizontal="center" vertical="center"/>
    </xf>
    <xf numFmtId="166" fontId="7" fillId="0" borderId="3" xfId="0" applyNumberFormat="1" applyFont="1" applyBorder="1" applyAlignment="1">
      <alignment horizontal="right" vertical="center"/>
    </xf>
    <xf numFmtId="165" fontId="7" fillId="0" borderId="3" xfId="0" applyNumberFormat="1" applyFont="1" applyBorder="1" applyAlignment="1">
      <alignment horizontal="right" vertical="center"/>
    </xf>
    <xf numFmtId="0" fontId="3" fillId="3" borderId="4" xfId="0" applyFont="1" applyFill="1" applyBorder="1" applyAlignment="1">
      <alignment horizontal="left" vertical="center" wrapText="1"/>
    </xf>
    <xf numFmtId="166" fontId="7" fillId="3" borderId="4" xfId="0" applyNumberFormat="1" applyFont="1" applyFill="1" applyBorder="1" applyAlignment="1">
      <alignment horizontal="right" vertical="center"/>
    </xf>
    <xf numFmtId="166" fontId="0" fillId="0" borderId="4" xfId="0" applyNumberFormat="1" applyBorder="1" applyAlignment="1">
      <alignment horizontal="right" vertical="center"/>
    </xf>
    <xf numFmtId="166" fontId="5" fillId="0" borderId="4" xfId="0" applyNumberFormat="1" applyFont="1" applyBorder="1" applyAlignment="1">
      <alignment horizontal="right" vertical="center"/>
    </xf>
    <xf numFmtId="49" fontId="3" fillId="0" borderId="4" xfId="0" applyNumberFormat="1" applyFont="1" applyBorder="1" applyAlignment="1" applyProtection="1">
      <alignment horizontal="left" vertical="center" wrapText="1"/>
      <protection hidden="1"/>
    </xf>
    <xf numFmtId="1" fontId="15" fillId="0" borderId="4" xfId="0" applyNumberFormat="1" applyFont="1" applyBorder="1" applyAlignment="1" applyProtection="1">
      <alignment horizontal="center" vertical="center"/>
      <protection hidden="1"/>
    </xf>
    <xf numFmtId="166" fontId="21" fillId="2" borderId="4" xfId="0" applyNumberFormat="1" applyFont="1" applyFill="1" applyBorder="1" applyAlignment="1">
      <alignment horizontal="right" vertical="center"/>
    </xf>
    <xf numFmtId="0" fontId="3" fillId="0" borderId="3" xfId="0" applyFont="1" applyBorder="1" applyAlignment="1">
      <alignment wrapText="1"/>
    </xf>
    <xf numFmtId="0" fontId="0" fillId="0" borderId="3" xfId="0" applyBorder="1" applyAlignment="1">
      <alignment wrapText="1"/>
    </xf>
    <xf numFmtId="0" fontId="0" fillId="0" borderId="3" xfId="0" applyBorder="1" applyAlignment="1">
      <alignment horizontal="center" vertical="center"/>
    </xf>
    <xf numFmtId="165" fontId="0" fillId="0" borderId="4" xfId="0" applyNumberFormat="1" applyBorder="1" applyAlignment="1">
      <alignment horizontal="right" vertical="center"/>
    </xf>
    <xf numFmtId="0" fontId="3" fillId="0" borderId="4" xfId="0" applyFont="1" applyBorder="1" applyAlignment="1">
      <alignment horizontal="right" vertical="center"/>
    </xf>
    <xf numFmtId="0" fontId="0" fillId="0" borderId="4" xfId="0" applyBorder="1" applyAlignment="1">
      <alignment vertical="center"/>
    </xf>
    <xf numFmtId="0" fontId="3" fillId="3" borderId="3" xfId="0" applyFont="1" applyFill="1" applyBorder="1" applyAlignment="1">
      <alignment wrapText="1"/>
    </xf>
    <xf numFmtId="0" fontId="3" fillId="3" borderId="3" xfId="0" applyFont="1" applyFill="1" applyBorder="1" applyAlignment="1">
      <alignment horizontal="center" vertical="center"/>
    </xf>
    <xf numFmtId="166" fontId="0" fillId="3" borderId="3" xfId="0" applyNumberFormat="1" applyFill="1" applyBorder="1" applyAlignment="1">
      <alignment horizontal="right" vertical="center"/>
    </xf>
    <xf numFmtId="166" fontId="3" fillId="3" borderId="3" xfId="0" applyNumberFormat="1" applyFont="1" applyFill="1" applyBorder="1" applyAlignment="1">
      <alignment horizontal="right" vertical="center"/>
    </xf>
    <xf numFmtId="0" fontId="3" fillId="3" borderId="4" xfId="0" applyFont="1" applyFill="1" applyBorder="1" applyAlignment="1">
      <alignment wrapText="1"/>
    </xf>
    <xf numFmtId="164" fontId="0" fillId="0" borderId="3" xfId="0" applyNumberFormat="1" applyFont="1" applyBorder="1" applyAlignment="1">
      <alignment horizontal="right" vertical="center"/>
    </xf>
    <xf numFmtId="166" fontId="0" fillId="0" borderId="3" xfId="0" applyNumberFormat="1" applyFont="1" applyBorder="1" applyAlignment="1">
      <alignment horizontal="right" vertical="center"/>
    </xf>
    <xf numFmtId="164" fontId="3" fillId="0" borderId="4" xfId="0" applyNumberFormat="1" applyFont="1" applyBorder="1" applyAlignment="1">
      <alignment vertical="center"/>
    </xf>
    <xf numFmtId="166" fontId="18" fillId="3" borderId="3" xfId="0" applyNumberFormat="1" applyFont="1" applyFill="1" applyBorder="1" applyAlignment="1">
      <alignment horizontal="right" vertical="center"/>
    </xf>
    <xf numFmtId="166" fontId="18" fillId="0" borderId="3" xfId="0" applyNumberFormat="1" applyFont="1" applyBorder="1" applyAlignment="1">
      <alignment horizontal="right" vertical="center"/>
    </xf>
    <xf numFmtId="0" fontId="3" fillId="0" borderId="3" xfId="0" applyFont="1" applyBorder="1" applyAlignment="1">
      <alignment horizontal="center" vertical="center"/>
    </xf>
    <xf numFmtId="0" fontId="11" fillId="3" borderId="3" xfId="0" applyFont="1" applyFill="1" applyBorder="1" applyAlignment="1">
      <alignment horizontal="center" vertical="center" wrapText="1"/>
    </xf>
    <xf numFmtId="0" fontId="3" fillId="2" borderId="3" xfId="0" applyFont="1" applyFill="1" applyBorder="1" applyAlignment="1">
      <alignment horizontal="centerContinuous" vertical="center"/>
    </xf>
    <xf numFmtId="164" fontId="10" fillId="3" borderId="3" xfId="0" applyNumberFormat="1" applyFont="1" applyFill="1" applyBorder="1" applyAlignment="1">
      <alignment horizontal="right" vertical="center"/>
    </xf>
    <xf numFmtId="0" fontId="5" fillId="0" borderId="3" xfId="0" applyFont="1" applyBorder="1" applyAlignment="1">
      <alignment vertical="center" wrapText="1"/>
    </xf>
    <xf numFmtId="49" fontId="3" fillId="0" borderId="3" xfId="0" applyNumberFormat="1" applyFont="1" applyBorder="1" applyAlignment="1">
      <alignment horizontal="center" vertical="center"/>
    </xf>
    <xf numFmtId="0" fontId="0" fillId="3" borderId="4" xfId="0" applyFill="1" applyBorder="1" applyAlignment="1">
      <alignment wrapText="1"/>
    </xf>
    <xf numFmtId="49" fontId="3" fillId="0" borderId="4" xfId="0" applyNumberFormat="1" applyFont="1" applyBorder="1" applyAlignment="1">
      <alignment horizontal="center" vertical="center"/>
    </xf>
    <xf numFmtId="165" fontId="3" fillId="3" borderId="4" xfId="0" applyNumberFormat="1" applyFont="1" applyFill="1" applyBorder="1" applyAlignment="1">
      <alignment horizontal="center" vertical="center"/>
    </xf>
    <xf numFmtId="166" fontId="0" fillId="3" borderId="4" xfId="0" applyNumberFormat="1" applyFill="1" applyBorder="1" applyAlignment="1">
      <alignment horizontal="center" vertical="center"/>
    </xf>
    <xf numFmtId="0" fontId="3" fillId="3" borderId="3" xfId="0" applyFont="1" applyFill="1" applyBorder="1" applyAlignment="1">
      <alignment horizontal="left" vertical="center" wrapText="1"/>
    </xf>
    <xf numFmtId="49" fontId="3" fillId="3" borderId="3" xfId="0" applyNumberFormat="1" applyFont="1" applyFill="1" applyBorder="1" applyAlignment="1">
      <alignment horizontal="center" vertical="center"/>
    </xf>
    <xf numFmtId="164" fontId="0" fillId="3" borderId="3" xfId="0" applyNumberFormat="1" applyFill="1" applyBorder="1" applyAlignment="1">
      <alignment horizontal="right" vertical="center"/>
    </xf>
    <xf numFmtId="49" fontId="3" fillId="3" borderId="4" xfId="0" applyNumberFormat="1" applyFont="1" applyFill="1" applyBorder="1" applyAlignment="1">
      <alignment horizontal="center" vertical="center"/>
    </xf>
    <xf numFmtId="0" fontId="0" fillId="3" borderId="4" xfId="0" applyFill="1" applyBorder="1" applyAlignment="1">
      <alignment horizontal="left" vertical="center" wrapText="1"/>
    </xf>
    <xf numFmtId="49" fontId="0" fillId="3" borderId="4" xfId="0" applyNumberFormat="1" applyFill="1" applyBorder="1" applyAlignment="1">
      <alignment horizontal="center" vertical="center"/>
    </xf>
    <xf numFmtId="166" fontId="24" fillId="3" borderId="4" xfId="0" applyNumberFormat="1" applyFont="1" applyFill="1" applyBorder="1" applyAlignment="1">
      <alignment horizontal="right" vertical="center"/>
    </xf>
    <xf numFmtId="164" fontId="0" fillId="2" borderId="4" xfId="0" applyNumberFormat="1" applyFill="1" applyBorder="1" applyAlignment="1">
      <alignment horizontal="right" vertical="center"/>
    </xf>
    <xf numFmtId="0" fontId="3" fillId="2" borderId="3" xfId="0" applyFont="1" applyFill="1" applyBorder="1" applyAlignment="1">
      <alignment horizontal="left" vertical="center" wrapText="1"/>
    </xf>
    <xf numFmtId="166" fontId="12" fillId="3" borderId="3" xfId="0" applyNumberFormat="1" applyFont="1" applyFill="1" applyBorder="1" applyAlignment="1">
      <alignment horizontal="right" vertical="center"/>
    </xf>
    <xf numFmtId="166" fontId="19" fillId="3" borderId="3" xfId="0" applyNumberFormat="1" applyFont="1" applyFill="1" applyBorder="1" applyAlignment="1">
      <alignment horizontal="right" vertical="center"/>
    </xf>
    <xf numFmtId="0" fontId="7" fillId="2" borderId="3" xfId="0" applyFont="1" applyFill="1" applyBorder="1" applyAlignment="1">
      <alignment horizontal="left" vertical="center" wrapText="1"/>
    </xf>
    <xf numFmtId="49" fontId="7" fillId="3" borderId="3" xfId="0" applyNumberFormat="1" applyFont="1" applyFill="1" applyBorder="1" applyAlignment="1">
      <alignment horizontal="center" vertical="center"/>
    </xf>
    <xf numFmtId="166" fontId="7" fillId="3" borderId="3" xfId="0" applyNumberFormat="1" applyFont="1" applyFill="1" applyBorder="1" applyAlignment="1">
      <alignment horizontal="right" vertical="center"/>
    </xf>
    <xf numFmtId="164" fontId="7" fillId="3" borderId="3" xfId="0" applyNumberFormat="1" applyFont="1" applyFill="1" applyBorder="1" applyAlignment="1">
      <alignment horizontal="right" vertical="center"/>
    </xf>
    <xf numFmtId="0" fontId="3" fillId="0" borderId="4" xfId="0" applyFont="1" applyBorder="1" applyAlignment="1">
      <alignment horizontal="left" vertical="center" wrapText="1"/>
    </xf>
    <xf numFmtId="164" fontId="0" fillId="3" borderId="4" xfId="0" applyNumberFormat="1" applyFill="1" applyBorder="1" applyAlignment="1">
      <alignment horizontal="center" vertical="center" wrapText="1"/>
    </xf>
    <xf numFmtId="165" fontId="19" fillId="3" borderId="4" xfId="0" applyNumberFormat="1" applyFont="1" applyFill="1" applyBorder="1" applyAlignment="1">
      <alignment horizontal="center" vertical="center"/>
    </xf>
    <xf numFmtId="165" fontId="0" fillId="3" borderId="4" xfId="0" applyNumberFormat="1" applyFill="1" applyBorder="1" applyAlignment="1">
      <alignment horizontal="center" vertical="center"/>
    </xf>
    <xf numFmtId="164" fontId="3" fillId="2" borderId="3" xfId="0" applyNumberFormat="1" applyFont="1" applyFill="1" applyBorder="1" applyAlignment="1">
      <alignment horizontal="center" vertical="center"/>
    </xf>
    <xf numFmtId="166" fontId="19" fillId="3" borderId="3"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165" fontId="0" fillId="3" borderId="3" xfId="0" applyNumberFormat="1" applyFill="1" applyBorder="1" applyAlignment="1">
      <alignment horizontal="center" vertical="center"/>
    </xf>
    <xf numFmtId="166" fontId="0" fillId="3" borderId="3" xfId="0" applyNumberFormat="1" applyFill="1" applyBorder="1" applyAlignment="1">
      <alignment horizontal="center" vertical="center"/>
    </xf>
    <xf numFmtId="166" fontId="26" fillId="3" borderId="4" xfId="0" applyNumberFormat="1" applyFont="1" applyFill="1" applyBorder="1" applyAlignment="1">
      <alignment horizontal="right" vertical="center"/>
    </xf>
    <xf numFmtId="165" fontId="3" fillId="9" borderId="4" xfId="0" applyNumberFormat="1" applyFont="1" applyFill="1" applyBorder="1" applyAlignment="1">
      <alignment horizontal="right" vertical="center"/>
    </xf>
    <xf numFmtId="165" fontId="3" fillId="2" borderId="4" xfId="0" applyNumberFormat="1" applyFont="1" applyFill="1" applyBorder="1" applyAlignment="1">
      <alignment vertical="center"/>
    </xf>
    <xf numFmtId="165" fontId="0" fillId="3" borderId="4" xfId="0" applyNumberFormat="1" applyFill="1" applyBorder="1" applyAlignment="1">
      <alignment horizontal="right" vertical="center"/>
    </xf>
    <xf numFmtId="165" fontId="3" fillId="3" borderId="4" xfId="0" applyNumberFormat="1" applyFont="1" applyFill="1" applyBorder="1" applyAlignment="1">
      <alignment horizontal="right" vertical="center"/>
    </xf>
    <xf numFmtId="166" fontId="19" fillId="3" borderId="4" xfId="0" applyNumberFormat="1" applyFont="1" applyFill="1" applyBorder="1" applyAlignment="1">
      <alignment horizontal="right" vertical="center"/>
    </xf>
    <xf numFmtId="165" fontId="0" fillId="7" borderId="4" xfId="0" applyNumberFormat="1" applyFill="1" applyBorder="1"/>
    <xf numFmtId="165" fontId="0" fillId="8" borderId="4" xfId="0" applyNumberFormat="1" applyFill="1" applyBorder="1"/>
    <xf numFmtId="165" fontId="0" fillId="9" borderId="4" xfId="0" applyNumberFormat="1" applyFill="1" applyBorder="1" applyAlignment="1">
      <alignment horizontal="right" vertical="center"/>
    </xf>
    <xf numFmtId="0" fontId="12" fillId="0" borderId="3" xfId="0" applyFont="1" applyBorder="1" applyAlignment="1">
      <alignment horizontal="left" vertical="center" wrapText="1"/>
    </xf>
    <xf numFmtId="49" fontId="12" fillId="0" borderId="3" xfId="0" applyNumberFormat="1" applyFont="1" applyBorder="1" applyAlignment="1">
      <alignment horizontal="center" vertical="center"/>
    </xf>
    <xf numFmtId="165" fontId="12" fillId="0" borderId="3" xfId="0" applyNumberFormat="1" applyFont="1" applyBorder="1" applyAlignment="1">
      <alignment horizontal="right" vertical="center"/>
    </xf>
    <xf numFmtId="49" fontId="15" fillId="0" borderId="3" xfId="0" applyNumberFormat="1" applyFont="1" applyBorder="1" applyAlignment="1" applyProtection="1">
      <alignment horizontal="left" vertical="center" wrapText="1"/>
      <protection hidden="1"/>
    </xf>
    <xf numFmtId="0" fontId="15" fillId="0" borderId="3" xfId="0" applyFont="1" applyBorder="1" applyAlignment="1">
      <alignment horizontal="center" vertical="center"/>
    </xf>
    <xf numFmtId="166" fontId="12" fillId="2" borderId="3" xfId="0" applyNumberFormat="1" applyFont="1" applyFill="1" applyBorder="1" applyAlignment="1">
      <alignment horizontal="right" vertical="center"/>
    </xf>
    <xf numFmtId="0" fontId="3" fillId="0" borderId="3" xfId="0" applyFont="1" applyBorder="1" applyAlignment="1">
      <alignment horizontal="center" vertical="center" wrapText="1"/>
    </xf>
    <xf numFmtId="165" fontId="3" fillId="0" borderId="3" xfId="0" applyNumberFormat="1" applyFont="1" applyBorder="1" applyAlignment="1" applyProtection="1">
      <alignment horizontal="right" vertical="center" wrapText="1"/>
      <protection locked="0"/>
    </xf>
    <xf numFmtId="0" fontId="3" fillId="3" borderId="3" xfId="0" applyFont="1" applyFill="1" applyBorder="1" applyAlignment="1" applyProtection="1">
      <alignment horizontal="left" vertical="center" wrapText="1"/>
      <protection hidden="1"/>
    </xf>
    <xf numFmtId="0" fontId="3" fillId="0" borderId="3" xfId="0" applyFont="1" applyBorder="1" applyAlignment="1" applyProtection="1">
      <alignment horizontal="center" vertical="center" wrapText="1"/>
      <protection hidden="1"/>
    </xf>
    <xf numFmtId="164" fontId="3" fillId="3" borderId="3" xfId="0" applyNumberFormat="1" applyFont="1" applyFill="1" applyBorder="1"/>
    <xf numFmtId="166" fontId="20" fillId="3" borderId="3" xfId="0" applyNumberFormat="1" applyFont="1" applyFill="1" applyBorder="1" applyAlignment="1">
      <alignment horizontal="right" vertical="center"/>
    </xf>
    <xf numFmtId="0" fontId="3" fillId="2" borderId="4" xfId="0" applyFont="1" applyFill="1" applyBorder="1" applyAlignment="1">
      <alignment horizontal="center" vertical="center" wrapText="1"/>
    </xf>
    <xf numFmtId="164" fontId="35" fillId="3" borderId="4" xfId="0" applyNumberFormat="1" applyFont="1" applyFill="1" applyBorder="1" applyAlignment="1">
      <alignment horizontal="right" vertical="center" wrapText="1"/>
    </xf>
    <xf numFmtId="0" fontId="7" fillId="2" borderId="3" xfId="0" applyFont="1" applyFill="1" applyBorder="1" applyAlignment="1" applyProtection="1">
      <alignment horizontal="left" vertical="center" wrapText="1"/>
      <protection hidden="1"/>
    </xf>
    <xf numFmtId="0" fontId="7" fillId="0" borderId="3" xfId="0" applyFont="1" applyBorder="1" applyAlignment="1">
      <alignment horizontal="center" vertical="center" wrapText="1"/>
    </xf>
    <xf numFmtId="166" fontId="37" fillId="3" borderId="3" xfId="0" applyNumberFormat="1" applyFont="1" applyFill="1" applyBorder="1" applyAlignment="1">
      <alignment horizontal="right" vertical="center"/>
    </xf>
    <xf numFmtId="166" fontId="37" fillId="0" borderId="3" xfId="0" applyNumberFormat="1" applyFont="1" applyBorder="1" applyAlignment="1">
      <alignment horizontal="right" vertical="center"/>
    </xf>
    <xf numFmtId="0" fontId="2" fillId="0" borderId="4" xfId="0" applyFont="1" applyBorder="1" applyAlignment="1" applyProtection="1">
      <alignment horizontal="left" vertical="center" wrapText="1"/>
      <protection hidden="1"/>
    </xf>
    <xf numFmtId="0" fontId="2" fillId="0" borderId="4" xfId="0" applyFont="1" applyBorder="1" applyAlignment="1" applyProtection="1">
      <alignment horizontal="center" vertical="center" wrapText="1"/>
      <protection hidden="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164" fontId="0" fillId="2" borderId="3" xfId="0" applyNumberFormat="1" applyFill="1" applyBorder="1" applyAlignment="1">
      <alignment horizontal="right" vertical="center"/>
    </xf>
    <xf numFmtId="0" fontId="0" fillId="3" borderId="4" xfId="0" applyFill="1" applyBorder="1" applyAlignment="1">
      <alignment vertical="center" wrapText="1"/>
    </xf>
    <xf numFmtId="0" fontId="3" fillId="0" borderId="4" xfId="0" applyFont="1" applyBorder="1" applyAlignment="1" applyProtection="1">
      <alignment horizontal="center" vertical="center" wrapText="1"/>
      <protection hidden="1"/>
    </xf>
    <xf numFmtId="166" fontId="5" fillId="2" borderId="4" xfId="0" applyNumberFormat="1" applyFont="1" applyFill="1" applyBorder="1" applyAlignment="1">
      <alignment horizontal="right" vertical="center"/>
    </xf>
    <xf numFmtId="0" fontId="0" fillId="3" borderId="4" xfId="0" applyFill="1" applyBorder="1" applyAlignment="1" applyProtection="1">
      <alignment vertical="center" wrapText="1"/>
      <protection hidden="1"/>
    </xf>
    <xf numFmtId="0" fontId="2" fillId="0" borderId="4" xfId="0" applyFont="1" applyBorder="1" applyAlignment="1" applyProtection="1">
      <alignment horizontal="center" vertical="center"/>
      <protection hidden="1"/>
    </xf>
    <xf numFmtId="164" fontId="2" fillId="3" borderId="4" xfId="0" applyNumberFormat="1" applyFont="1" applyFill="1" applyBorder="1" applyAlignment="1" applyProtection="1">
      <alignment horizontal="right" vertical="center"/>
      <protection locked="0"/>
    </xf>
    <xf numFmtId="0" fontId="2" fillId="3" borderId="4" xfId="0" applyFont="1" applyFill="1" applyBorder="1" applyAlignment="1" applyProtection="1">
      <alignment vertical="center" wrapText="1"/>
      <protection hidden="1"/>
    </xf>
    <xf numFmtId="164" fontId="3" fillId="0" borderId="4" xfId="0" applyNumberFormat="1" applyFont="1" applyBorder="1" applyAlignment="1">
      <alignment horizontal="right" vertical="center"/>
    </xf>
    <xf numFmtId="0" fontId="4" fillId="0" borderId="4" xfId="0" applyFont="1" applyBorder="1" applyAlignment="1">
      <alignment horizontal="center" vertical="center" wrapText="1"/>
    </xf>
    <xf numFmtId="0" fontId="8" fillId="0" borderId="4" xfId="0" applyFont="1" applyBorder="1" applyAlignment="1">
      <alignment horizontal="center" vertical="center"/>
    </xf>
    <xf numFmtId="16" fontId="11" fillId="0" borderId="3" xfId="0" applyNumberFormat="1" applyFont="1" applyBorder="1" applyAlignment="1">
      <alignment horizontal="center" vertical="center" wrapText="1"/>
    </xf>
    <xf numFmtId="164" fontId="10" fillId="3" borderId="3" xfId="0" applyNumberFormat="1" applyFont="1" applyFill="1" applyBorder="1" applyAlignment="1" applyProtection="1">
      <alignment horizontal="right" vertical="center"/>
      <protection locked="0"/>
    </xf>
    <xf numFmtId="166" fontId="8" fillId="3" borderId="3" xfId="0" applyNumberFormat="1" applyFont="1" applyFill="1" applyBorder="1" applyAlignment="1">
      <alignment horizontal="right" vertical="center"/>
    </xf>
    <xf numFmtId="164" fontId="10" fillId="2" borderId="3" xfId="0" applyNumberFormat="1" applyFont="1" applyFill="1" applyBorder="1" applyAlignment="1" applyProtection="1">
      <alignment horizontal="right" vertical="center"/>
      <protection locked="0"/>
    </xf>
    <xf numFmtId="166" fontId="10" fillId="3" borderId="3" xfId="0" applyNumberFormat="1" applyFont="1" applyFill="1" applyBorder="1" applyAlignment="1">
      <alignment horizontal="right" vertical="center"/>
    </xf>
    <xf numFmtId="49" fontId="43" fillId="3" borderId="3" xfId="0" applyNumberFormat="1" applyFont="1" applyFill="1" applyBorder="1" applyAlignment="1" applyProtection="1">
      <alignment horizontal="left" vertical="center" wrapText="1"/>
      <protection hidden="1"/>
    </xf>
    <xf numFmtId="0" fontId="43" fillId="3" borderId="3" xfId="0" applyFont="1" applyFill="1" applyBorder="1" applyAlignment="1">
      <alignment horizontal="center" vertical="center"/>
    </xf>
    <xf numFmtId="164" fontId="2" fillId="0" borderId="3" xfId="0" applyNumberFormat="1" applyFont="1" applyBorder="1"/>
    <xf numFmtId="164" fontId="43" fillId="0" borderId="3" xfId="0" applyNumberFormat="1" applyFont="1" applyBorder="1" applyAlignment="1">
      <alignment horizontal="right" vertical="center"/>
    </xf>
    <xf numFmtId="166" fontId="42" fillId="0" borderId="3" xfId="0" applyNumberFormat="1" applyFont="1" applyBorder="1" applyAlignment="1">
      <alignment horizontal="right" vertical="center"/>
    </xf>
    <xf numFmtId="0" fontId="15" fillId="0" borderId="4" xfId="0" applyFont="1" applyBorder="1" applyAlignment="1">
      <alignment horizontal="center" vertical="center"/>
    </xf>
    <xf numFmtId="166" fontId="45" fillId="0" borderId="4" xfId="0" applyNumberFormat="1" applyFont="1" applyBorder="1" applyAlignment="1">
      <alignment horizontal="right" vertical="center"/>
    </xf>
    <xf numFmtId="166" fontId="15" fillId="0" borderId="4" xfId="0" applyNumberFormat="1" applyFont="1" applyBorder="1" applyAlignment="1">
      <alignment horizontal="right" vertical="center"/>
    </xf>
    <xf numFmtId="165" fontId="15" fillId="0" borderId="4" xfId="0" applyNumberFormat="1" applyFont="1" applyBorder="1" applyAlignment="1">
      <alignment horizontal="right" vertical="center"/>
    </xf>
    <xf numFmtId="0" fontId="49" fillId="0" borderId="3" xfId="0" applyFont="1" applyBorder="1" applyAlignment="1">
      <alignment horizontal="left" vertical="center" wrapText="1"/>
    </xf>
    <xf numFmtId="164" fontId="12" fillId="3" borderId="3" xfId="0" applyNumberFormat="1" applyFont="1" applyFill="1" applyBorder="1" applyAlignment="1" applyProtection="1">
      <alignment horizontal="center" vertical="center"/>
      <protection locked="0"/>
    </xf>
    <xf numFmtId="165" fontId="8" fillId="3" borderId="3" xfId="0" applyNumberFormat="1" applyFont="1" applyFill="1" applyBorder="1" applyAlignment="1" applyProtection="1">
      <alignment horizontal="center" vertical="center"/>
      <protection locked="0"/>
    </xf>
    <xf numFmtId="165" fontId="12" fillId="3" borderId="3"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164" fontId="7" fillId="2" borderId="3" xfId="0" applyNumberFormat="1" applyFont="1" applyFill="1" applyBorder="1" applyAlignment="1" applyProtection="1">
      <alignment horizontal="right" vertical="center"/>
      <protection locked="0"/>
    </xf>
    <xf numFmtId="164" fontId="7" fillId="3" borderId="4" xfId="0" applyNumberFormat="1" applyFont="1" applyFill="1" applyBorder="1" applyAlignment="1">
      <alignment horizontal="right" vertical="center"/>
    </xf>
    <xf numFmtId="0" fontId="41" fillId="3" borderId="3" xfId="0" applyFont="1" applyFill="1" applyBorder="1" applyAlignment="1">
      <alignment vertical="center" wrapText="1"/>
    </xf>
    <xf numFmtId="0" fontId="7" fillId="3" borderId="3" xfId="0"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165" fontId="7" fillId="3" borderId="4" xfId="0" applyNumberFormat="1" applyFont="1" applyFill="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166" fontId="8" fillId="3" borderId="4" xfId="0" applyNumberFormat="1" applyFont="1" applyFill="1" applyBorder="1" applyAlignment="1" applyProtection="1">
      <alignment horizontal="right" vertical="center"/>
      <protection locked="0"/>
    </xf>
    <xf numFmtId="0" fontId="7" fillId="3" borderId="2" xfId="0" applyFont="1" applyFill="1" applyBorder="1"/>
    <xf numFmtId="0" fontId="27" fillId="3" borderId="2" xfId="0" applyFont="1" applyFill="1" applyBorder="1" applyAlignment="1" applyProtection="1">
      <alignment horizontal="left" vertical="top" wrapText="1"/>
    </xf>
    <xf numFmtId="0" fontId="0" fillId="0" borderId="0" xfId="0" applyFont="1"/>
    <xf numFmtId="164" fontId="0" fillId="0" borderId="0" xfId="0" applyNumberFormat="1" applyFont="1"/>
    <xf numFmtId="0" fontId="14" fillId="11" borderId="0" xfId="2" applyFont="1" applyFill="1" applyAlignment="1">
      <alignment horizontal="center"/>
    </xf>
    <xf numFmtId="0" fontId="14" fillId="11" borderId="0" xfId="2" applyFont="1" applyFill="1"/>
    <xf numFmtId="0" fontId="14" fillId="3" borderId="0" xfId="2" applyFont="1" applyFill="1"/>
    <xf numFmtId="4" fontId="56" fillId="3" borderId="0" xfId="2" applyNumberFormat="1" applyFont="1" applyFill="1" applyAlignment="1">
      <alignment horizontal="center"/>
    </xf>
    <xf numFmtId="0" fontId="14" fillId="3" borderId="0" xfId="2" applyFont="1" applyFill="1" applyAlignment="1">
      <alignment horizontal="left"/>
    </xf>
    <xf numFmtId="0" fontId="14" fillId="11" borderId="0" xfId="2" applyFont="1" applyFill="1" applyBorder="1" applyAlignment="1">
      <alignment horizontal="center" vertical="top"/>
    </xf>
    <xf numFmtId="0" fontId="14" fillId="3" borderId="0" xfId="2" applyFont="1" applyFill="1" applyBorder="1"/>
    <xf numFmtId="4" fontId="56" fillId="3" borderId="0" xfId="2" applyNumberFormat="1" applyFont="1" applyFill="1" applyBorder="1" applyAlignment="1">
      <alignment horizontal="center"/>
    </xf>
    <xf numFmtId="169" fontId="56" fillId="3" borderId="0" xfId="2" applyNumberFormat="1" applyFont="1" applyFill="1" applyBorder="1" applyAlignment="1">
      <alignment horizontal="center"/>
    </xf>
    <xf numFmtId="169" fontId="14" fillId="3" borderId="0" xfId="2" applyNumberFormat="1" applyFont="1" applyFill="1" applyBorder="1" applyAlignment="1">
      <alignment horizontal="right"/>
    </xf>
    <xf numFmtId="0" fontId="14" fillId="3" borderId="0" xfId="2" applyFont="1" applyFill="1" applyAlignment="1"/>
    <xf numFmtId="0" fontId="14" fillId="11" borderId="0" xfId="2" applyFont="1" applyFill="1" applyAlignment="1"/>
    <xf numFmtId="0" fontId="62" fillId="3" borderId="2" xfId="2" applyNumberFormat="1" applyFont="1" applyFill="1" applyBorder="1" applyAlignment="1" applyProtection="1">
      <alignment horizontal="center" vertical="center" wrapText="1"/>
    </xf>
    <xf numFmtId="169" fontId="60" fillId="3" borderId="2" xfId="2" applyNumberFormat="1" applyFont="1" applyFill="1" applyBorder="1" applyAlignment="1">
      <alignment horizontal="center" vertical="center" wrapText="1"/>
    </xf>
    <xf numFmtId="0" fontId="14" fillId="3" borderId="0" xfId="2" applyFont="1" applyFill="1" applyAlignment="1">
      <alignment horizontal="center" vertical="center" wrapText="1"/>
    </xf>
    <xf numFmtId="0" fontId="14" fillId="11" borderId="0" xfId="2" applyFont="1" applyFill="1" applyAlignment="1">
      <alignment horizontal="center" vertical="center" wrapText="1"/>
    </xf>
    <xf numFmtId="0" fontId="55" fillId="11" borderId="2" xfId="2" applyFont="1" applyFill="1" applyBorder="1" applyAlignment="1">
      <alignment horizontal="center" vertical="center"/>
    </xf>
    <xf numFmtId="0" fontId="55" fillId="11" borderId="2" xfId="2" applyFont="1" applyFill="1" applyBorder="1" applyAlignment="1">
      <alignment horizontal="center" vertical="center" wrapText="1" shrinkToFit="1"/>
    </xf>
    <xf numFmtId="0" fontId="55" fillId="3" borderId="2" xfId="2" applyNumberFormat="1" applyFont="1" applyFill="1" applyBorder="1" applyAlignment="1" applyProtection="1">
      <alignment horizontal="center" vertical="center" wrapText="1"/>
    </xf>
    <xf numFmtId="3" fontId="56" fillId="3" borderId="2" xfId="2" applyNumberFormat="1" applyFont="1" applyFill="1" applyBorder="1" applyAlignment="1">
      <alignment horizontal="center" vertical="center"/>
    </xf>
    <xf numFmtId="0" fontId="56" fillId="3" borderId="2" xfId="2" applyNumberFormat="1" applyFont="1" applyFill="1" applyBorder="1" applyAlignment="1" applyProtection="1">
      <alignment horizontal="center" vertical="center" wrapText="1"/>
    </xf>
    <xf numFmtId="0" fontId="55" fillId="3" borderId="2" xfId="2" applyNumberFormat="1" applyFont="1" applyFill="1" applyBorder="1" applyAlignment="1">
      <alignment horizontal="center" vertical="center"/>
    </xf>
    <xf numFmtId="0" fontId="55" fillId="3" borderId="0" xfId="2" applyFont="1" applyFill="1" applyAlignment="1">
      <alignment horizontal="center" vertical="center"/>
    </xf>
    <xf numFmtId="0" fontId="55" fillId="11" borderId="0" xfId="2" applyFont="1" applyFill="1" applyAlignment="1">
      <alignment horizontal="center" vertical="center"/>
    </xf>
    <xf numFmtId="0" fontId="63" fillId="11" borderId="2" xfId="2" applyFont="1" applyFill="1" applyBorder="1" applyAlignment="1">
      <alignment horizontal="center" vertical="top"/>
    </xf>
    <xf numFmtId="0" fontId="63" fillId="11" borderId="2" xfId="2" applyFont="1" applyFill="1" applyBorder="1" applyAlignment="1">
      <alignment horizontal="center" wrapText="1" shrinkToFit="1"/>
    </xf>
    <xf numFmtId="4" fontId="63" fillId="3" borderId="2" xfId="2" applyNumberFormat="1" applyFont="1" applyFill="1" applyBorder="1" applyAlignment="1">
      <alignment horizontal="center"/>
    </xf>
    <xf numFmtId="4" fontId="61" fillId="3" borderId="2" xfId="2" applyNumberFormat="1" applyFont="1" applyFill="1" applyBorder="1" applyAlignment="1">
      <alignment horizontal="center"/>
    </xf>
    <xf numFmtId="0" fontId="63" fillId="3" borderId="0" xfId="2" applyFont="1" applyFill="1"/>
    <xf numFmtId="0" fontId="63" fillId="11" borderId="0" xfId="2" applyFont="1" applyFill="1"/>
    <xf numFmtId="0" fontId="64" fillId="11" borderId="2" xfId="2" applyFont="1" applyFill="1" applyBorder="1" applyAlignment="1">
      <alignment horizontal="center" vertical="top"/>
    </xf>
    <xf numFmtId="0" fontId="64" fillId="11" borderId="2" xfId="2" applyFont="1" applyFill="1" applyBorder="1" applyAlignment="1">
      <alignment vertical="top" wrapText="1" shrinkToFit="1"/>
    </xf>
    <xf numFmtId="165" fontId="14" fillId="3" borderId="0" xfId="2" applyNumberFormat="1" applyFont="1" applyFill="1"/>
    <xf numFmtId="165" fontId="14" fillId="11" borderId="0" xfId="2" applyNumberFormat="1" applyFont="1" applyFill="1"/>
    <xf numFmtId="0" fontId="65" fillId="11" borderId="0" xfId="2" applyFont="1" applyFill="1"/>
    <xf numFmtId="0" fontId="64" fillId="11" borderId="0" xfId="2" applyFont="1" applyFill="1"/>
    <xf numFmtId="0" fontId="14" fillId="11" borderId="2" xfId="2" applyFont="1" applyFill="1" applyBorder="1" applyAlignment="1">
      <alignment horizontal="center"/>
    </xf>
    <xf numFmtId="0" fontId="14" fillId="11" borderId="2" xfId="2" applyFont="1" applyFill="1" applyBorder="1" applyAlignment="1">
      <alignment vertical="top" wrapText="1" shrinkToFit="1"/>
    </xf>
    <xf numFmtId="4" fontId="57" fillId="3" borderId="2" xfId="2" applyNumberFormat="1" applyFont="1" applyFill="1" applyBorder="1" applyAlignment="1">
      <alignment horizontal="center"/>
    </xf>
    <xf numFmtId="4" fontId="66" fillId="3" borderId="2" xfId="3" applyNumberFormat="1" applyFont="1" applyFill="1" applyBorder="1" applyAlignment="1">
      <alignment horizontal="center"/>
    </xf>
    <xf numFmtId="0" fontId="55" fillId="11" borderId="2" xfId="2" applyFont="1" applyFill="1" applyBorder="1" applyAlignment="1">
      <alignment horizontal="center" wrapText="1"/>
    </xf>
    <xf numFmtId="0" fontId="55" fillId="11" borderId="2" xfId="2" applyFont="1" applyFill="1" applyBorder="1" applyAlignment="1">
      <alignment vertical="top" wrapText="1" shrinkToFit="1"/>
    </xf>
    <xf numFmtId="0" fontId="64" fillId="3" borderId="0" xfId="2" applyFont="1" applyFill="1"/>
    <xf numFmtId="0" fontId="14" fillId="11" borderId="2" xfId="2" applyFont="1" applyFill="1" applyBorder="1" applyAlignment="1">
      <alignment horizontal="center" vertical="top"/>
    </xf>
    <xf numFmtId="4" fontId="66" fillId="3" borderId="2" xfId="2" applyNumberFormat="1" applyFont="1" applyFill="1" applyBorder="1" applyAlignment="1">
      <alignment horizontal="center"/>
    </xf>
    <xf numFmtId="0" fontId="55" fillId="11" borderId="2" xfId="2" applyFont="1" applyFill="1" applyBorder="1" applyAlignment="1">
      <alignment horizontal="center"/>
    </xf>
    <xf numFmtId="0" fontId="67" fillId="3" borderId="0" xfId="2" applyFont="1" applyFill="1"/>
    <xf numFmtId="0" fontId="67" fillId="11" borderId="0" xfId="2" applyFont="1" applyFill="1"/>
    <xf numFmtId="0" fontId="68" fillId="11" borderId="2" xfId="2" applyFont="1" applyFill="1" applyBorder="1" applyAlignment="1">
      <alignment vertical="top" wrapText="1" shrinkToFit="1"/>
    </xf>
    <xf numFmtId="0" fontId="55" fillId="11" borderId="2" xfId="2" applyFont="1" applyFill="1" applyBorder="1" applyAlignment="1">
      <alignment horizontal="center" vertical="top"/>
    </xf>
    <xf numFmtId="0" fontId="68" fillId="11" borderId="2" xfId="2" applyFont="1" applyFill="1" applyBorder="1" applyAlignment="1">
      <alignment horizontal="center" vertical="top"/>
    </xf>
    <xf numFmtId="0" fontId="68" fillId="11" borderId="2" xfId="2" applyFont="1" applyFill="1" applyBorder="1" applyAlignment="1">
      <alignment horizontal="center"/>
    </xf>
    <xf numFmtId="0" fontId="68" fillId="3" borderId="0" xfId="2" applyFont="1" applyFill="1"/>
    <xf numFmtId="0" fontId="68" fillId="11" borderId="0" xfId="2" applyFont="1" applyFill="1"/>
    <xf numFmtId="0" fontId="69" fillId="0" borderId="2" xfId="4" applyBorder="1" applyAlignment="1">
      <alignment horizontal="center"/>
    </xf>
    <xf numFmtId="0" fontId="55" fillId="0" borderId="2" xfId="4" applyFont="1" applyBorder="1" applyAlignment="1">
      <alignment wrapText="1"/>
    </xf>
    <xf numFmtId="0" fontId="68" fillId="11" borderId="2" xfId="2" applyNumberFormat="1" applyFont="1" applyFill="1" applyBorder="1" applyAlignment="1" applyProtection="1">
      <alignment horizontal="center" vertical="center" wrapText="1"/>
    </xf>
    <xf numFmtId="0" fontId="68" fillId="11" borderId="2" xfId="2" applyNumberFormat="1" applyFont="1" applyFill="1" applyBorder="1" applyAlignment="1" applyProtection="1">
      <alignment vertical="top" wrapText="1" shrinkToFit="1"/>
    </xf>
    <xf numFmtId="0" fontId="55" fillId="11" borderId="2" xfId="2" applyNumberFormat="1" applyFont="1" applyFill="1" applyBorder="1" applyAlignment="1" applyProtection="1">
      <alignment horizontal="center" vertical="center" wrapText="1"/>
    </xf>
    <xf numFmtId="0" fontId="55" fillId="11" borderId="2" xfId="2" applyNumberFormat="1" applyFont="1" applyFill="1" applyBorder="1" applyAlignment="1" applyProtection="1">
      <alignment vertical="top" wrapText="1" shrinkToFit="1"/>
    </xf>
    <xf numFmtId="0" fontId="55" fillId="3" borderId="0" xfId="2" applyFont="1" applyFill="1"/>
    <xf numFmtId="0" fontId="55" fillId="11" borderId="0" xfId="2" applyFont="1" applyFill="1"/>
    <xf numFmtId="0" fontId="68" fillId="11" borderId="2" xfId="5" applyFont="1" applyFill="1" applyBorder="1" applyAlignment="1" applyProtection="1">
      <alignment horizontal="center" vertical="center"/>
    </xf>
    <xf numFmtId="0" fontId="55" fillId="11" borderId="2" xfId="5" applyFont="1" applyFill="1" applyBorder="1" applyAlignment="1" applyProtection="1">
      <alignment horizontal="center" vertical="center"/>
    </xf>
    <xf numFmtId="0" fontId="65" fillId="11" borderId="2" xfId="2" applyFont="1" applyFill="1" applyBorder="1" applyAlignment="1">
      <alignment horizontal="center" wrapText="1"/>
    </xf>
    <xf numFmtId="0" fontId="65" fillId="11" borderId="2" xfId="2" applyFont="1" applyFill="1" applyBorder="1" applyAlignment="1">
      <alignment vertical="top" wrapText="1" shrinkToFit="1"/>
    </xf>
    <xf numFmtId="0" fontId="72" fillId="11" borderId="2" xfId="2" applyFont="1" applyFill="1" applyBorder="1" applyAlignment="1">
      <alignment vertical="top" wrapText="1" shrinkToFit="1"/>
    </xf>
    <xf numFmtId="0" fontId="55" fillId="3" borderId="2" xfId="2" applyFont="1" applyFill="1" applyBorder="1" applyAlignment="1">
      <alignment horizontal="center" wrapText="1"/>
    </xf>
    <xf numFmtId="0" fontId="55" fillId="3" borderId="2" xfId="2" applyFont="1" applyFill="1" applyBorder="1" applyAlignment="1">
      <alignment vertical="top" wrapText="1" shrinkToFit="1"/>
    </xf>
    <xf numFmtId="4" fontId="73" fillId="3" borderId="2" xfId="3" applyNumberFormat="1" applyFont="1" applyFill="1" applyBorder="1" applyAlignment="1">
      <alignment horizontal="center"/>
    </xf>
    <xf numFmtId="164" fontId="74" fillId="3" borderId="2" xfId="4" applyNumberFormat="1" applyFont="1" applyFill="1" applyBorder="1" applyProtection="1"/>
    <xf numFmtId="4" fontId="64" fillId="3" borderId="0" xfId="2" applyNumberFormat="1" applyFont="1" applyFill="1"/>
    <xf numFmtId="0" fontId="55" fillId="3" borderId="2" xfId="2" applyFont="1" applyFill="1" applyBorder="1" applyAlignment="1">
      <alignment horizontal="center" vertical="top"/>
    </xf>
    <xf numFmtId="0" fontId="75" fillId="3" borderId="0" xfId="2" applyFont="1" applyFill="1"/>
    <xf numFmtId="4" fontId="75" fillId="3" borderId="0" xfId="2" applyNumberFormat="1" applyFont="1" applyFill="1"/>
    <xf numFmtId="0" fontId="76" fillId="11" borderId="2" xfId="2" applyFont="1" applyFill="1" applyBorder="1" applyAlignment="1">
      <alignment vertical="top" wrapText="1" shrinkToFit="1"/>
    </xf>
    <xf numFmtId="4" fontId="77" fillId="3" borderId="2" xfId="2" applyNumberFormat="1" applyFont="1" applyFill="1" applyBorder="1" applyAlignment="1">
      <alignment horizontal="center"/>
    </xf>
    <xf numFmtId="0" fontId="75" fillId="11" borderId="0" xfId="2" applyFont="1" applyFill="1"/>
    <xf numFmtId="0" fontId="76" fillId="11" borderId="2" xfId="2" applyFont="1" applyFill="1" applyBorder="1" applyAlignment="1">
      <alignment horizontal="center" vertical="top"/>
    </xf>
    <xf numFmtId="4" fontId="78" fillId="3" borderId="2" xfId="2" applyNumberFormat="1" applyFont="1" applyFill="1" applyBorder="1" applyAlignment="1">
      <alignment horizontal="center"/>
    </xf>
    <xf numFmtId="0" fontId="79" fillId="3" borderId="0" xfId="2" applyFont="1" applyFill="1"/>
    <xf numFmtId="0" fontId="79" fillId="11" borderId="0" xfId="2" applyFont="1" applyFill="1"/>
    <xf numFmtId="0" fontId="80" fillId="3" borderId="0" xfId="2" applyFont="1" applyFill="1"/>
    <xf numFmtId="0" fontId="80" fillId="11" borderId="0" xfId="2" applyFont="1" applyFill="1"/>
    <xf numFmtId="0" fontId="81" fillId="3" borderId="0" xfId="2" applyFont="1" applyFill="1"/>
    <xf numFmtId="0" fontId="81" fillId="11" borderId="0" xfId="2" applyFont="1" applyFill="1"/>
    <xf numFmtId="0" fontId="55" fillId="11" borderId="2" xfId="6" applyFont="1" applyFill="1" applyBorder="1" applyAlignment="1">
      <alignment horizontal="center"/>
    </xf>
    <xf numFmtId="0" fontId="55" fillId="11" borderId="2" xfId="6" applyFont="1" applyFill="1" applyBorder="1" applyAlignment="1">
      <alignment wrapText="1"/>
    </xf>
    <xf numFmtId="0" fontId="64" fillId="11" borderId="2" xfId="5" applyFont="1" applyFill="1" applyBorder="1" applyAlignment="1" applyProtection="1">
      <alignment vertical="top" wrapText="1" shrinkToFit="1"/>
    </xf>
    <xf numFmtId="0" fontId="63" fillId="3" borderId="2" xfId="2" applyFont="1" applyFill="1" applyBorder="1"/>
    <xf numFmtId="0" fontId="55" fillId="11" borderId="2" xfId="2" applyFont="1" applyFill="1" applyBorder="1" applyAlignment="1">
      <alignment wrapText="1" shrinkToFit="1"/>
    </xf>
    <xf numFmtId="0" fontId="64" fillId="11" borderId="2" xfId="2" applyFont="1" applyFill="1" applyBorder="1" applyAlignment="1">
      <alignment horizontal="center" wrapText="1"/>
    </xf>
    <xf numFmtId="0" fontId="64" fillId="11" borderId="2" xfId="2" applyFont="1" applyFill="1" applyBorder="1" applyAlignment="1">
      <alignment wrapText="1" shrinkToFit="1"/>
    </xf>
    <xf numFmtId="0" fontId="14" fillId="11" borderId="2" xfId="2" applyFont="1" applyFill="1" applyBorder="1" applyAlignment="1">
      <alignment horizontal="center" wrapText="1"/>
    </xf>
    <xf numFmtId="0" fontId="14" fillId="11" borderId="2" xfId="2" applyFont="1" applyFill="1" applyBorder="1" applyAlignment="1">
      <alignment wrapText="1" shrinkToFit="1"/>
    </xf>
    <xf numFmtId="0" fontId="82" fillId="3" borderId="0" xfId="2" applyFont="1" applyFill="1"/>
    <xf numFmtId="0" fontId="82" fillId="11" borderId="0" xfId="2" applyFont="1" applyFill="1"/>
    <xf numFmtId="0" fontId="14" fillId="2" borderId="2" xfId="2" applyFont="1" applyFill="1" applyBorder="1" applyAlignment="1">
      <alignment horizontal="center" vertical="top"/>
    </xf>
    <xf numFmtId="0" fontId="14" fillId="2" borderId="2" xfId="2" applyFont="1" applyFill="1" applyBorder="1" applyAlignment="1">
      <alignment vertical="top" wrapText="1" shrinkToFit="1"/>
    </xf>
    <xf numFmtId="0" fontId="82" fillId="2" borderId="0" xfId="2" applyFont="1" applyFill="1"/>
    <xf numFmtId="0" fontId="71" fillId="11" borderId="2" xfId="7" applyFont="1" applyFill="1" applyBorder="1" applyAlignment="1">
      <alignment horizontal="center"/>
    </xf>
    <xf numFmtId="0" fontId="71" fillId="11" borderId="2" xfId="7" applyFont="1" applyFill="1" applyBorder="1" applyAlignment="1">
      <alignment wrapText="1"/>
    </xf>
    <xf numFmtId="0" fontId="14" fillId="11" borderId="0" xfId="2" applyFont="1" applyFill="1" applyAlignment="1">
      <alignment wrapText="1"/>
    </xf>
    <xf numFmtId="0" fontId="14" fillId="11" borderId="2" xfId="5" applyFont="1" applyFill="1" applyBorder="1" applyAlignment="1" applyProtection="1">
      <alignment horizontal="center" vertical="center"/>
    </xf>
    <xf numFmtId="0" fontId="14" fillId="11" borderId="2" xfId="5" applyFont="1" applyFill="1" applyBorder="1" applyAlignment="1" applyProtection="1">
      <alignment horizontal="center" vertical="center" wrapText="1"/>
    </xf>
    <xf numFmtId="0" fontId="56" fillId="11" borderId="2" xfId="2" applyFont="1" applyFill="1" applyBorder="1" applyAlignment="1">
      <alignment vertical="top" wrapText="1" shrinkToFit="1"/>
    </xf>
    <xf numFmtId="4" fontId="83" fillId="3" borderId="2" xfId="2" applyNumberFormat="1" applyFont="1" applyFill="1" applyBorder="1" applyAlignment="1">
      <alignment horizontal="center"/>
    </xf>
    <xf numFmtId="0" fontId="84" fillId="3" borderId="0" xfId="2" applyFont="1" applyFill="1"/>
    <xf numFmtId="0" fontId="84" fillId="11" borderId="0" xfId="2" applyFont="1" applyFill="1"/>
    <xf numFmtId="0" fontId="14" fillId="11" borderId="2" xfId="5" applyFont="1" applyFill="1" applyBorder="1" applyAlignment="1" applyProtection="1">
      <alignment vertical="top" wrapText="1" shrinkToFit="1"/>
    </xf>
    <xf numFmtId="172" fontId="63" fillId="3" borderId="2" xfId="2" applyNumberFormat="1" applyFont="1" applyFill="1" applyBorder="1" applyAlignment="1">
      <alignment horizontal="center"/>
    </xf>
    <xf numFmtId="0" fontId="55" fillId="11" borderId="2" xfId="2" applyFont="1" applyFill="1" applyBorder="1" applyAlignment="1">
      <alignment horizontal="center" vertical="top" wrapText="1"/>
    </xf>
    <xf numFmtId="2" fontId="14" fillId="11" borderId="2" xfId="2" applyNumberFormat="1" applyFont="1" applyFill="1" applyBorder="1" applyAlignment="1">
      <alignment vertical="top" wrapText="1" shrinkToFit="1"/>
    </xf>
    <xf numFmtId="0" fontId="64" fillId="3" borderId="2" xfId="2" applyFont="1" applyFill="1" applyBorder="1" applyAlignment="1">
      <alignment horizontal="center" vertical="top"/>
    </xf>
    <xf numFmtId="0" fontId="64" fillId="3" borderId="2" xfId="2" applyFont="1" applyFill="1" applyBorder="1" applyAlignment="1">
      <alignment vertical="top" wrapText="1" shrinkToFit="1"/>
    </xf>
    <xf numFmtId="0" fontId="57" fillId="3" borderId="2" xfId="2" applyFont="1" applyFill="1" applyBorder="1"/>
    <xf numFmtId="0" fontId="71" fillId="3" borderId="2" xfId="2" applyFont="1" applyFill="1" applyBorder="1" applyAlignment="1">
      <alignment horizontal="center" vertical="center"/>
    </xf>
    <xf numFmtId="0" fontId="75" fillId="11" borderId="2" xfId="2" applyFont="1" applyFill="1" applyBorder="1" applyAlignment="1">
      <alignment vertical="top" wrapText="1" shrinkToFit="1"/>
    </xf>
    <xf numFmtId="0" fontId="63" fillId="11" borderId="2" xfId="2" applyFont="1" applyFill="1" applyBorder="1" applyAlignment="1">
      <alignment vertical="top" wrapText="1" shrinkToFit="1"/>
    </xf>
    <xf numFmtId="0" fontId="64" fillId="11" borderId="2" xfId="2" applyFont="1" applyFill="1" applyBorder="1" applyAlignment="1">
      <alignment horizontal="center" vertical="center"/>
    </xf>
    <xf numFmtId="0" fontId="14" fillId="11" borderId="2" xfId="2" applyFont="1" applyFill="1" applyBorder="1" applyAlignment="1">
      <alignment horizontal="center" vertical="center"/>
    </xf>
    <xf numFmtId="0" fontId="71" fillId="11" borderId="0" xfId="2" applyFont="1" applyFill="1" applyAlignment="1">
      <alignment wrapText="1"/>
    </xf>
    <xf numFmtId="4" fontId="85" fillId="3" borderId="2" xfId="2" applyNumberFormat="1" applyFont="1" applyFill="1" applyBorder="1" applyAlignment="1">
      <alignment horizontal="center"/>
    </xf>
    <xf numFmtId="0" fontId="86" fillId="3" borderId="0" xfId="2" applyFont="1" applyFill="1"/>
    <xf numFmtId="0" fontId="86" fillId="11" borderId="0" xfId="2" applyFont="1" applyFill="1"/>
    <xf numFmtId="0" fontId="68" fillId="11" borderId="2" xfId="5" applyFont="1" applyFill="1" applyBorder="1" applyAlignment="1" applyProtection="1">
      <alignment horizontal="center" vertical="center" wrapText="1"/>
    </xf>
    <xf numFmtId="0" fontId="68" fillId="11" borderId="2" xfId="5" applyFont="1" applyFill="1" applyBorder="1" applyAlignment="1" applyProtection="1">
      <alignment vertical="top" wrapText="1" shrinkToFit="1"/>
    </xf>
    <xf numFmtId="0" fontId="60" fillId="3" borderId="0" xfId="2" applyFont="1" applyFill="1"/>
    <xf numFmtId="0" fontId="60" fillId="11" borderId="0" xfId="2" applyFont="1" applyFill="1"/>
    <xf numFmtId="0" fontId="63" fillId="11" borderId="2" xfId="2" applyFont="1" applyFill="1" applyBorder="1" applyAlignment="1">
      <alignment horizontal="left" wrapText="1" shrinkToFit="1"/>
    </xf>
    <xf numFmtId="0" fontId="55" fillId="11" borderId="2" xfId="2" applyFont="1" applyFill="1" applyBorder="1" applyAlignment="1">
      <alignment horizontal="left" wrapText="1" shrinkToFit="1"/>
    </xf>
    <xf numFmtId="4" fontId="63" fillId="3" borderId="0" xfId="2" applyNumberFormat="1" applyFont="1" applyFill="1"/>
    <xf numFmtId="0" fontId="57" fillId="3" borderId="0" xfId="2" applyFont="1" applyFill="1"/>
    <xf numFmtId="0" fontId="57" fillId="11" borderId="0" xfId="2" applyFont="1" applyFill="1"/>
    <xf numFmtId="0" fontId="68" fillId="11" borderId="2" xfId="2" applyFont="1" applyFill="1" applyBorder="1" applyAlignment="1">
      <alignment horizontal="left" wrapText="1" shrinkToFit="1"/>
    </xf>
    <xf numFmtId="0" fontId="64" fillId="11" borderId="2" xfId="2" applyFont="1" applyFill="1" applyBorder="1" applyAlignment="1">
      <alignment horizontal="left" wrapText="1" shrinkToFit="1"/>
    </xf>
    <xf numFmtId="0" fontId="82" fillId="11" borderId="2" xfId="2" applyFont="1" applyFill="1" applyBorder="1" applyAlignment="1">
      <alignment horizontal="center" vertical="top"/>
    </xf>
    <xf numFmtId="0" fontId="82" fillId="11" borderId="2" xfId="2" applyFont="1" applyFill="1" applyBorder="1" applyAlignment="1">
      <alignment horizontal="left" wrapText="1" shrinkToFit="1"/>
    </xf>
    <xf numFmtId="0" fontId="56" fillId="11" borderId="2" xfId="2" applyFont="1" applyFill="1" applyBorder="1" applyAlignment="1">
      <alignment horizontal="center"/>
    </xf>
    <xf numFmtId="4" fontId="57" fillId="3" borderId="2" xfId="2" applyNumberFormat="1" applyFont="1" applyFill="1" applyBorder="1" applyAlignment="1">
      <alignment horizontal="center" wrapText="1"/>
    </xf>
    <xf numFmtId="4" fontId="66" fillId="3" borderId="2" xfId="2" applyNumberFormat="1" applyFont="1" applyFill="1" applyBorder="1" applyAlignment="1">
      <alignment horizontal="center" wrapText="1"/>
    </xf>
    <xf numFmtId="4" fontId="55" fillId="3" borderId="0" xfId="2" applyNumberFormat="1" applyFont="1" applyFill="1" applyAlignment="1">
      <alignment horizontal="center"/>
    </xf>
    <xf numFmtId="0" fontId="55" fillId="3" borderId="0" xfId="2" applyFont="1" applyFill="1" applyAlignment="1">
      <alignment horizontal="center"/>
    </xf>
    <xf numFmtId="0" fontId="55" fillId="11" borderId="0" xfId="2" applyFont="1" applyFill="1" applyAlignment="1">
      <alignment horizontal="center"/>
    </xf>
    <xf numFmtId="4" fontId="14" fillId="3" borderId="2" xfId="2" applyNumberFormat="1" applyFont="1" applyFill="1" applyBorder="1" applyAlignment="1">
      <alignment horizontal="center"/>
    </xf>
    <xf numFmtId="4" fontId="14" fillId="3" borderId="2" xfId="2" applyNumberFormat="1" applyFont="1" applyFill="1" applyBorder="1" applyAlignment="1">
      <alignment horizontal="center" wrapText="1"/>
    </xf>
    <xf numFmtId="4" fontId="71" fillId="3" borderId="2" xfId="2" applyNumberFormat="1" applyFont="1" applyFill="1" applyBorder="1" applyAlignment="1">
      <alignment horizontal="center" wrapText="1"/>
    </xf>
    <xf numFmtId="4" fontId="55" fillId="3" borderId="2" xfId="2" applyNumberFormat="1" applyFont="1" applyFill="1" applyBorder="1" applyAlignment="1">
      <alignment horizontal="center" wrapText="1"/>
    </xf>
    <xf numFmtId="4" fontId="64" fillId="3" borderId="2" xfId="2" applyNumberFormat="1" applyFont="1" applyFill="1" applyBorder="1" applyAlignment="1">
      <alignment horizontal="center"/>
    </xf>
    <xf numFmtId="4" fontId="87" fillId="3" borderId="2" xfId="2" applyNumberFormat="1" applyFont="1" applyFill="1" applyBorder="1" applyAlignment="1">
      <alignment horizontal="center"/>
    </xf>
    <xf numFmtId="0" fontId="56" fillId="11" borderId="0" xfId="2" applyFont="1" applyFill="1" applyAlignment="1">
      <alignment vertical="top" wrapText="1" shrinkToFit="1"/>
    </xf>
    <xf numFmtId="4" fontId="65" fillId="3" borderId="2" xfId="2" applyNumberFormat="1" applyFont="1" applyFill="1" applyBorder="1" applyAlignment="1">
      <alignment horizontal="center"/>
    </xf>
    <xf numFmtId="4" fontId="68" fillId="3" borderId="2" xfId="2" applyNumberFormat="1" applyFont="1" applyFill="1" applyBorder="1" applyAlignment="1">
      <alignment horizontal="center"/>
    </xf>
    <xf numFmtId="4" fontId="71" fillId="3" borderId="2" xfId="2" applyNumberFormat="1" applyFont="1" applyFill="1" applyBorder="1" applyAlignment="1">
      <alignment horizontal="center"/>
    </xf>
    <xf numFmtId="4" fontId="55" fillId="3" borderId="2" xfId="2" applyNumberFormat="1" applyFont="1" applyFill="1" applyBorder="1" applyAlignment="1">
      <alignment horizontal="center"/>
    </xf>
    <xf numFmtId="4" fontId="82" fillId="3" borderId="0" xfId="2" applyNumberFormat="1" applyFont="1" applyFill="1"/>
    <xf numFmtId="4" fontId="14" fillId="3" borderId="0" xfId="2" applyNumberFormat="1" applyFont="1" applyFill="1"/>
    <xf numFmtId="0" fontId="14" fillId="11" borderId="3" xfId="2" applyFont="1" applyFill="1" applyBorder="1" applyAlignment="1">
      <alignment vertical="top" wrapText="1" shrinkToFit="1"/>
    </xf>
    <xf numFmtId="4" fontId="88" fillId="3" borderId="2" xfId="2" applyNumberFormat="1" applyFont="1" applyFill="1" applyBorder="1" applyAlignment="1">
      <alignment horizontal="center" wrapText="1"/>
    </xf>
    <xf numFmtId="0" fontId="88" fillId="3" borderId="0" xfId="2" applyFont="1" applyFill="1" applyAlignment="1">
      <alignment horizontal="center"/>
    </xf>
    <xf numFmtId="0" fontId="88" fillId="11" borderId="0" xfId="2" applyFont="1" applyFill="1" applyAlignment="1">
      <alignment horizontal="center"/>
    </xf>
    <xf numFmtId="0" fontId="14" fillId="11" borderId="2" xfId="4" applyFont="1" applyFill="1" applyBorder="1" applyAlignment="1">
      <alignment wrapText="1"/>
    </xf>
    <xf numFmtId="0" fontId="14" fillId="11" borderId="3" xfId="4" applyFont="1" applyFill="1" applyBorder="1" applyAlignment="1">
      <alignment wrapText="1"/>
    </xf>
    <xf numFmtId="4" fontId="81" fillId="3" borderId="2" xfId="2" applyNumberFormat="1" applyFont="1" applyFill="1" applyBorder="1" applyAlignment="1">
      <alignment horizontal="center"/>
    </xf>
    <xf numFmtId="0" fontId="55" fillId="0" borderId="2" xfId="8" applyFont="1" applyFill="1" applyBorder="1" applyAlignment="1">
      <alignment horizontal="left" wrapText="1"/>
    </xf>
    <xf numFmtId="4" fontId="82" fillId="3" borderId="2" xfId="2" applyNumberFormat="1" applyFont="1" applyFill="1" applyBorder="1" applyAlignment="1">
      <alignment horizontal="center"/>
    </xf>
    <xf numFmtId="0" fontId="55" fillId="0" borderId="3" xfId="8" applyFont="1" applyFill="1" applyBorder="1" applyAlignment="1">
      <alignment horizontal="left" wrapText="1"/>
    </xf>
    <xf numFmtId="0" fontId="14" fillId="11" borderId="2" xfId="4" applyFont="1" applyFill="1" applyBorder="1" applyAlignment="1">
      <alignment horizontal="center"/>
    </xf>
    <xf numFmtId="0" fontId="56" fillId="11" borderId="2" xfId="9" applyFont="1" applyFill="1" applyBorder="1" applyAlignment="1">
      <alignment wrapText="1"/>
    </xf>
    <xf numFmtId="0" fontId="14" fillId="11" borderId="13" xfId="10" applyFont="1" applyFill="1" applyBorder="1" applyAlignment="1">
      <alignment vertical="top" wrapText="1" shrinkToFit="1"/>
    </xf>
    <xf numFmtId="0" fontId="14" fillId="11" borderId="14" xfId="10" applyFont="1" applyFill="1" applyBorder="1" applyAlignment="1">
      <alignment vertical="top" wrapText="1" shrinkToFit="1"/>
    </xf>
    <xf numFmtId="0" fontId="14" fillId="11" borderId="8" xfId="10" applyFont="1" applyFill="1" applyBorder="1" applyAlignment="1">
      <alignment vertical="top" wrapText="1" shrinkToFit="1"/>
    </xf>
    <xf numFmtId="0" fontId="14" fillId="3" borderId="2" xfId="2" applyFont="1" applyFill="1" applyBorder="1" applyAlignment="1">
      <alignment vertical="top" wrapText="1" shrinkToFit="1"/>
    </xf>
    <xf numFmtId="0" fontId="14" fillId="3" borderId="2" xfId="9" applyFont="1" applyFill="1" applyBorder="1" applyAlignment="1">
      <alignment wrapText="1"/>
    </xf>
    <xf numFmtId="0" fontId="56" fillId="3" borderId="2" xfId="9" applyFont="1" applyFill="1" applyBorder="1" applyAlignment="1">
      <alignment horizontal="left" vertical="top" wrapText="1"/>
    </xf>
    <xf numFmtId="0" fontId="89" fillId="11" borderId="2" xfId="2" applyFont="1" applyFill="1" applyBorder="1" applyAlignment="1">
      <alignment horizontal="center" vertical="top"/>
    </xf>
    <xf numFmtId="0" fontId="90" fillId="11" borderId="2" xfId="2" applyFont="1" applyFill="1" applyBorder="1" applyAlignment="1">
      <alignment horizontal="center" vertical="center" wrapText="1" shrinkToFit="1"/>
    </xf>
    <xf numFmtId="4" fontId="90" fillId="3" borderId="2" xfId="2" applyNumberFormat="1" applyFont="1" applyFill="1" applyBorder="1" applyAlignment="1">
      <alignment horizontal="center"/>
    </xf>
    <xf numFmtId="4" fontId="62" fillId="3" borderId="2" xfId="2" applyNumberFormat="1" applyFont="1" applyFill="1" applyBorder="1" applyAlignment="1">
      <alignment horizontal="center"/>
    </xf>
    <xf numFmtId="0" fontId="89" fillId="3" borderId="0" xfId="2" applyFont="1" applyFill="1"/>
    <xf numFmtId="0" fontId="89" fillId="11" borderId="0" xfId="2" applyFont="1" applyFill="1"/>
    <xf numFmtId="4" fontId="14" fillId="3" borderId="0" xfId="2" applyNumberFormat="1" applyFont="1" applyFill="1" applyAlignment="1">
      <alignment horizontal="center"/>
    </xf>
    <xf numFmtId="4" fontId="91" fillId="3" borderId="0" xfId="2" applyNumberFormat="1" applyFont="1" applyFill="1"/>
    <xf numFmtId="4" fontId="92" fillId="3" borderId="0" xfId="2" applyNumberFormat="1" applyFont="1" applyFill="1"/>
    <xf numFmtId="4" fontId="56" fillId="3" borderId="0" xfId="2" applyNumberFormat="1" applyFont="1" applyFill="1"/>
    <xf numFmtId="0" fontId="51" fillId="3" borderId="0" xfId="2" applyNumberFormat="1" applyFont="1" applyFill="1" applyAlignment="1" applyProtection="1"/>
    <xf numFmtId="4" fontId="93" fillId="3" borderId="0" xfId="2" applyNumberFormat="1" applyFont="1" applyFill="1" applyAlignment="1" applyProtection="1"/>
    <xf numFmtId="0" fontId="94" fillId="3" borderId="0" xfId="2" applyNumberFormat="1" applyFont="1" applyFill="1" applyAlignment="1" applyProtection="1"/>
    <xf numFmtId="0" fontId="51" fillId="3" borderId="0" xfId="2" applyNumberFormat="1" applyFont="1" applyFill="1" applyAlignment="1" applyProtection="1">
      <alignment horizontal="right"/>
    </xf>
    <xf numFmtId="0" fontId="55" fillId="3" borderId="0" xfId="2" applyNumberFormat="1" applyFont="1" applyFill="1" applyAlignment="1" applyProtection="1"/>
    <xf numFmtId="0" fontId="55" fillId="11" borderId="0" xfId="2" applyNumberFormat="1" applyFont="1" applyFill="1" applyAlignment="1" applyProtection="1"/>
    <xf numFmtId="173" fontId="56" fillId="3" borderId="0" xfId="2" applyNumberFormat="1" applyFont="1" applyFill="1" applyAlignment="1">
      <alignment horizontal="center"/>
    </xf>
    <xf numFmtId="173" fontId="14" fillId="3" borderId="0" xfId="2" applyNumberFormat="1" applyFont="1" applyFill="1" applyAlignment="1">
      <alignment horizontal="center"/>
    </xf>
    <xf numFmtId="2" fontId="56" fillId="3" borderId="0" xfId="2" applyNumberFormat="1" applyFont="1" applyFill="1" applyAlignment="1">
      <alignment horizontal="center"/>
    </xf>
    <xf numFmtId="2" fontId="14" fillId="3" borderId="0" xfId="2" applyNumberFormat="1" applyFont="1" applyFill="1" applyAlignment="1">
      <alignment horizontal="center"/>
    </xf>
    <xf numFmtId="169" fontId="56" fillId="3" borderId="0" xfId="2" applyNumberFormat="1" applyFont="1" applyFill="1" applyAlignment="1">
      <alignment horizontal="center"/>
    </xf>
    <xf numFmtId="169" fontId="14" fillId="3" borderId="0" xfId="2" applyNumberFormat="1" applyFont="1" applyFill="1" applyAlignment="1">
      <alignment horizontal="center"/>
    </xf>
    <xf numFmtId="0" fontId="55" fillId="0" borderId="0" xfId="4" applyNumberFormat="1" applyFont="1" applyFill="1" applyAlignment="1" applyProtection="1"/>
    <xf numFmtId="0" fontId="95" fillId="0" borderId="0" xfId="4" applyNumberFormat="1" applyFont="1" applyFill="1" applyAlignment="1" applyProtection="1">
      <alignment vertical="center" wrapText="1"/>
    </xf>
    <xf numFmtId="0" fontId="69" fillId="0" borderId="0" xfId="4" applyFill="1"/>
    <xf numFmtId="0" fontId="95" fillId="0" borderId="15" xfId="4" applyNumberFormat="1" applyFont="1" applyFill="1" applyBorder="1" applyAlignment="1" applyProtection="1">
      <alignment horizontal="right" vertical="center"/>
    </xf>
    <xf numFmtId="0" fontId="75" fillId="0" borderId="0" xfId="4" applyNumberFormat="1" applyFont="1" applyFill="1" applyAlignment="1" applyProtection="1"/>
    <xf numFmtId="0" fontId="75" fillId="0" borderId="0" xfId="4" applyFont="1" applyFill="1"/>
    <xf numFmtId="0" fontId="39" fillId="0" borderId="2" xfId="4" applyNumberFormat="1" applyFont="1" applyFill="1" applyBorder="1" applyAlignment="1" applyProtection="1">
      <alignment horizontal="center" vertical="center" wrapText="1"/>
    </xf>
    <xf numFmtId="0" fontId="68" fillId="0" borderId="2" xfId="4" applyNumberFormat="1" applyFont="1" applyFill="1" applyBorder="1" applyAlignment="1" applyProtection="1">
      <alignment horizontal="center" vertical="center" wrapText="1"/>
    </xf>
    <xf numFmtId="0" fontId="80" fillId="0" borderId="2" xfId="4" applyNumberFormat="1" applyFont="1" applyFill="1" applyBorder="1" applyAlignment="1" applyProtection="1">
      <alignment horizontal="center" vertical="center" wrapText="1"/>
    </xf>
    <xf numFmtId="0" fontId="60" fillId="17" borderId="2" xfId="4" applyNumberFormat="1" applyFont="1" applyFill="1" applyBorder="1" applyAlignment="1" applyProtection="1">
      <alignment horizontal="center" vertical="center"/>
    </xf>
    <xf numFmtId="2" fontId="39" fillId="17" borderId="2" xfId="4" applyNumberFormat="1" applyFont="1" applyFill="1" applyBorder="1" applyAlignment="1" applyProtection="1">
      <alignment vertical="center" wrapText="1"/>
    </xf>
    <xf numFmtId="4" fontId="60" fillId="17" borderId="2" xfId="4" applyNumberFormat="1" applyFont="1" applyFill="1" applyBorder="1" applyAlignment="1" applyProtection="1">
      <alignment horizontal="right" vertical="center"/>
    </xf>
    <xf numFmtId="4" fontId="55" fillId="0" borderId="0" xfId="4" applyNumberFormat="1" applyFont="1" applyFill="1" applyAlignment="1" applyProtection="1"/>
    <xf numFmtId="0" fontId="69" fillId="0" borderId="0" xfId="4" applyFont="1" applyFill="1" applyAlignment="1" applyProtection="1"/>
    <xf numFmtId="0" fontId="60" fillId="0" borderId="2" xfId="4" applyNumberFormat="1" applyFont="1" applyFill="1" applyBorder="1" applyAlignment="1" applyProtection="1">
      <alignment horizontal="center" vertical="center"/>
    </xf>
    <xf numFmtId="2" fontId="39" fillId="0" borderId="2" xfId="4" applyNumberFormat="1" applyFont="1" applyFill="1" applyBorder="1" applyAlignment="1" applyProtection="1">
      <alignment vertical="center" wrapText="1"/>
    </xf>
    <xf numFmtId="4" fontId="60" fillId="0" borderId="2" xfId="4" applyNumberFormat="1" applyFont="1" applyFill="1" applyBorder="1" applyAlignment="1" applyProtection="1">
      <alignment horizontal="right" vertical="center"/>
    </xf>
    <xf numFmtId="0" fontId="69" fillId="0" borderId="0" xfId="4" applyFont="1"/>
    <xf numFmtId="0" fontId="95" fillId="0" borderId="2" xfId="4" applyNumberFormat="1" applyFont="1" applyFill="1" applyBorder="1" applyAlignment="1" applyProtection="1">
      <alignment horizontal="center" vertical="center"/>
    </xf>
    <xf numFmtId="2" fontId="98" fillId="0" borderId="2" xfId="4" applyNumberFormat="1" applyFont="1" applyFill="1" applyBorder="1" applyAlignment="1" applyProtection="1">
      <alignment vertical="center" wrapText="1"/>
    </xf>
    <xf numFmtId="4" fontId="95" fillId="0" borderId="2" xfId="4" applyNumberFormat="1" applyFont="1" applyFill="1" applyBorder="1" applyAlignment="1" applyProtection="1">
      <alignment horizontal="right" vertical="center"/>
    </xf>
    <xf numFmtId="0" fontId="24" fillId="0" borderId="0" xfId="4" applyFont="1"/>
    <xf numFmtId="4" fontId="69" fillId="0" borderId="0" xfId="4" applyNumberFormat="1" applyFont="1"/>
    <xf numFmtId="0" fontId="100" fillId="0" borderId="0" xfId="4" applyFont="1"/>
    <xf numFmtId="0" fontId="101" fillId="0" borderId="0" xfId="4" applyFont="1"/>
    <xf numFmtId="4" fontId="100" fillId="0" borderId="0" xfId="4" applyNumberFormat="1" applyFont="1"/>
    <xf numFmtId="4" fontId="102" fillId="0" borderId="2" xfId="4" applyNumberFormat="1" applyFont="1" applyFill="1" applyBorder="1" applyAlignment="1" applyProtection="1">
      <alignment horizontal="right" vertical="center"/>
    </xf>
    <xf numFmtId="4" fontId="103" fillId="0" borderId="2" xfId="4" applyNumberFormat="1" applyFont="1" applyFill="1" applyBorder="1" applyAlignment="1" applyProtection="1">
      <alignment horizontal="right" vertical="center"/>
    </xf>
    <xf numFmtId="4" fontId="104" fillId="17" borderId="2" xfId="4" applyNumberFormat="1" applyFont="1" applyFill="1" applyBorder="1" applyAlignment="1" applyProtection="1">
      <alignment horizontal="right" vertical="center"/>
    </xf>
    <xf numFmtId="4" fontId="105" fillId="17" borderId="2" xfId="4" applyNumberFormat="1" applyFont="1" applyFill="1" applyBorder="1" applyAlignment="1" applyProtection="1">
      <alignment horizontal="right" vertical="center"/>
    </xf>
    <xf numFmtId="4" fontId="104" fillId="0" borderId="2" xfId="4" applyNumberFormat="1" applyFont="1" applyFill="1" applyBorder="1" applyAlignment="1" applyProtection="1">
      <alignment horizontal="right" vertical="center"/>
    </xf>
    <xf numFmtId="4" fontId="105" fillId="0" borderId="2" xfId="4" applyNumberFormat="1" applyFont="1" applyFill="1" applyBorder="1" applyAlignment="1" applyProtection="1">
      <alignment horizontal="right" vertical="center"/>
    </xf>
    <xf numFmtId="0" fontId="39" fillId="0" borderId="2" xfId="4" applyFont="1" applyFill="1" applyBorder="1" applyAlignment="1">
      <alignment horizontal="center"/>
    </xf>
    <xf numFmtId="0" fontId="39" fillId="0" borderId="2" xfId="4" applyFont="1" applyFill="1" applyBorder="1"/>
    <xf numFmtId="4" fontId="39" fillId="0" borderId="2" xfId="4" applyNumberFormat="1" applyFont="1" applyFill="1" applyBorder="1"/>
    <xf numFmtId="0" fontId="39" fillId="0" borderId="0" xfId="4" applyFont="1" applyFill="1"/>
    <xf numFmtId="0" fontId="106" fillId="0" borderId="2" xfId="4" applyNumberFormat="1" applyFont="1" applyFill="1" applyBorder="1" applyAlignment="1" applyProtection="1">
      <alignment horizontal="center" vertical="center"/>
    </xf>
    <xf numFmtId="2" fontId="107" fillId="0" borderId="2" xfId="4" applyNumberFormat="1" applyFont="1" applyFill="1" applyBorder="1" applyAlignment="1" applyProtection="1">
      <alignment vertical="center" wrapText="1"/>
    </xf>
    <xf numFmtId="4" fontId="108" fillId="0" borderId="2" xfId="4" applyNumberFormat="1" applyFont="1" applyFill="1" applyBorder="1" applyAlignment="1" applyProtection="1">
      <alignment horizontal="right" vertical="center"/>
    </xf>
    <xf numFmtId="0" fontId="39" fillId="17" borderId="2" xfId="4" applyNumberFormat="1" applyFont="1" applyFill="1" applyBorder="1" applyAlignment="1" applyProtection="1">
      <alignment vertical="center" wrapText="1"/>
    </xf>
    <xf numFmtId="0" fontId="55" fillId="0" borderId="0" xfId="4" applyNumberFormat="1" applyFont="1" applyFill="1" applyAlignment="1" applyProtection="1">
      <alignment vertical="top"/>
    </xf>
    <xf numFmtId="0" fontId="69" fillId="0" borderId="0" xfId="4" applyFont="1" applyFill="1" applyAlignment="1">
      <alignment vertical="top"/>
    </xf>
    <xf numFmtId="4" fontId="109" fillId="0" borderId="2" xfId="4" applyNumberFormat="1" applyFont="1" applyFill="1" applyBorder="1" applyAlignment="1">
      <alignment horizontal="right" wrapText="1"/>
    </xf>
    <xf numFmtId="0" fontId="69" fillId="0" borderId="0" xfId="4" applyFont="1" applyFill="1"/>
    <xf numFmtId="4" fontId="110" fillId="0" borderId="2" xfId="4" applyNumberFormat="1" applyFont="1" applyFill="1" applyBorder="1" applyAlignment="1">
      <alignment horizontal="right" wrapText="1"/>
    </xf>
    <xf numFmtId="0" fontId="69" fillId="0" borderId="0" xfId="4"/>
    <xf numFmtId="4" fontId="111" fillId="0" borderId="2" xfId="4" applyNumberFormat="1" applyFont="1" applyFill="1" applyBorder="1" applyAlignment="1">
      <alignment horizontal="right" wrapText="1"/>
    </xf>
    <xf numFmtId="4" fontId="51" fillId="0" borderId="0" xfId="4" applyNumberFormat="1" applyFont="1" applyFill="1" applyAlignment="1" applyProtection="1"/>
    <xf numFmtId="0" fontId="51" fillId="0" borderId="0" xfId="4" applyNumberFormat="1" applyFont="1" applyFill="1" applyAlignment="1" applyProtection="1"/>
    <xf numFmtId="0" fontId="55" fillId="0" borderId="0" xfId="4" applyFont="1" applyFill="1"/>
    <xf numFmtId="0" fontId="68" fillId="0" borderId="0" xfId="4" applyNumberFormat="1" applyFont="1" applyFill="1" applyAlignment="1" applyProtection="1"/>
    <xf numFmtId="0" fontId="97" fillId="0" borderId="0" xfId="4" applyNumberFormat="1" applyFont="1" applyFill="1" applyAlignment="1" applyProtection="1">
      <alignment horizontal="center" vertical="center"/>
    </xf>
    <xf numFmtId="0" fontId="114" fillId="0" borderId="0" xfId="4" applyNumberFormat="1" applyFont="1" applyFill="1" applyBorder="1" applyAlignment="1" applyProtection="1">
      <alignment horizontal="center" vertical="top" wrapText="1"/>
    </xf>
    <xf numFmtId="0" fontId="113" fillId="0" borderId="0" xfId="4" applyNumberFormat="1" applyFont="1" applyFill="1" applyBorder="1" applyAlignment="1" applyProtection="1">
      <alignment horizontal="center" vertical="top" wrapText="1"/>
    </xf>
    <xf numFmtId="0" fontId="115" fillId="0" borderId="0" xfId="4" applyNumberFormat="1" applyFont="1" applyFill="1" applyBorder="1" applyAlignment="1" applyProtection="1">
      <alignment horizontal="center" vertical="top" wrapText="1"/>
    </xf>
    <xf numFmtId="0" fontId="98" fillId="0" borderId="0" xfId="4" applyNumberFormat="1" applyFont="1" applyFill="1" applyAlignment="1" applyProtection="1">
      <alignment horizontal="center" vertical="top"/>
    </xf>
    <xf numFmtId="0" fontId="113" fillId="0" borderId="15" xfId="4" applyNumberFormat="1" applyFont="1" applyFill="1" applyBorder="1" applyAlignment="1" applyProtection="1">
      <alignment horizontal="center"/>
    </xf>
    <xf numFmtId="0" fontId="116" fillId="0" borderId="15" xfId="4" applyNumberFormat="1" applyFont="1" applyFill="1" applyBorder="1" applyAlignment="1" applyProtection="1">
      <alignment horizontal="center"/>
    </xf>
    <xf numFmtId="0" fontId="55" fillId="0" borderId="15" xfId="4" applyFont="1" applyFill="1" applyBorder="1" applyAlignment="1">
      <alignment horizontal="center"/>
    </xf>
    <xf numFmtId="0" fontId="68" fillId="0" borderId="15" xfId="4" applyFont="1" applyFill="1" applyBorder="1" applyAlignment="1">
      <alignment horizontal="center"/>
    </xf>
    <xf numFmtId="0" fontId="113" fillId="0" borderId="15" xfId="4" applyNumberFormat="1" applyFont="1" applyFill="1" applyBorder="1" applyAlignment="1" applyProtection="1">
      <alignment horizontal="center" vertical="top"/>
    </xf>
    <xf numFmtId="0" fontId="113" fillId="0" borderId="0" xfId="4" applyNumberFormat="1" applyFont="1" applyFill="1" applyAlignment="1" applyProtection="1">
      <alignment horizontal="center"/>
    </xf>
    <xf numFmtId="0" fontId="55" fillId="0" borderId="0" xfId="4" applyFont="1" applyFill="1" applyAlignment="1">
      <alignment horizontal="center"/>
    </xf>
    <xf numFmtId="0" fontId="117" fillId="0" borderId="0" xfId="4" applyFont="1" applyFill="1" applyAlignment="1">
      <alignment horizontal="center"/>
    </xf>
    <xf numFmtId="0" fontId="118" fillId="0" borderId="15" xfId="4" applyNumberFormat="1" applyFont="1" applyFill="1" applyBorder="1" applyAlignment="1" applyProtection="1">
      <alignment horizontal="right" vertical="center"/>
    </xf>
    <xf numFmtId="0" fontId="120" fillId="0" borderId="2" xfId="4" applyNumberFormat="1" applyFont="1" applyFill="1" applyBorder="1" applyAlignment="1" applyProtection="1">
      <alignment horizontal="center" vertical="center" wrapText="1"/>
    </xf>
    <xf numFmtId="1" fontId="98" fillId="0" borderId="3" xfId="4" applyNumberFormat="1" applyFont="1" applyFill="1" applyBorder="1" applyAlignment="1" applyProtection="1">
      <alignment horizontal="center" vertical="center" wrapText="1"/>
    </xf>
    <xf numFmtId="1" fontId="98" fillId="18" borderId="2" xfId="11" applyNumberFormat="1" applyFont="1" applyFill="1" applyBorder="1" applyAlignment="1">
      <alignment horizontal="center" vertical="center"/>
    </xf>
    <xf numFmtId="49" fontId="60" fillId="18" borderId="2" xfId="4" applyNumberFormat="1" applyFont="1" applyFill="1" applyBorder="1" applyAlignment="1">
      <alignment horizontal="center" vertical="center" wrapText="1"/>
    </xf>
    <xf numFmtId="49" fontId="95" fillId="18" borderId="2" xfId="4" applyNumberFormat="1" applyFont="1" applyFill="1" applyBorder="1" applyAlignment="1">
      <alignment horizontal="center" vertical="center" wrapText="1"/>
    </xf>
    <xf numFmtId="49" fontId="60" fillId="18" borderId="2" xfId="4" applyNumberFormat="1" applyFont="1" applyFill="1" applyBorder="1" applyAlignment="1">
      <alignment horizontal="justify" vertical="top" wrapText="1"/>
    </xf>
    <xf numFmtId="4" fontId="39" fillId="18" borderId="2" xfId="11" applyNumberFormat="1" applyFont="1" applyFill="1" applyBorder="1" applyAlignment="1">
      <alignment horizontal="center" vertical="center"/>
    </xf>
    <xf numFmtId="4" fontId="122" fillId="18" borderId="2" xfId="11" applyNumberFormat="1" applyFont="1" applyFill="1" applyBorder="1" applyAlignment="1">
      <alignment horizontal="center" vertical="center"/>
    </xf>
    <xf numFmtId="0" fontId="55" fillId="0" borderId="0" xfId="4" applyFont="1" applyFill="1" applyAlignment="1">
      <alignment vertical="center"/>
    </xf>
    <xf numFmtId="2" fontId="55" fillId="0" borderId="0" xfId="4" applyNumberFormat="1" applyFont="1" applyFill="1" applyAlignment="1">
      <alignment vertical="center"/>
    </xf>
    <xf numFmtId="4" fontId="55" fillId="0" borderId="0" xfId="4" applyNumberFormat="1" applyFont="1" applyFill="1" applyAlignment="1">
      <alignment vertical="center"/>
    </xf>
    <xf numFmtId="49" fontId="60" fillId="0" borderId="2" xfId="4" applyNumberFormat="1" applyFont="1" applyBorder="1" applyAlignment="1">
      <alignment horizontal="center" vertical="center" wrapText="1"/>
    </xf>
    <xf numFmtId="49" fontId="95" fillId="0" borderId="2" xfId="4" applyNumberFormat="1" applyFont="1" applyBorder="1" applyAlignment="1">
      <alignment horizontal="center" vertical="center" wrapText="1"/>
    </xf>
    <xf numFmtId="49" fontId="95" fillId="0" borderId="2" xfId="4" applyNumberFormat="1" applyFont="1" applyBorder="1" applyAlignment="1">
      <alignment horizontal="justify" vertical="top" wrapText="1"/>
    </xf>
    <xf numFmtId="4" fontId="98" fillId="0" borderId="2" xfId="11" applyNumberFormat="1" applyFont="1" applyBorder="1" applyAlignment="1">
      <alignment horizontal="center" vertical="center"/>
    </xf>
    <xf numFmtId="4" fontId="123" fillId="0" borderId="2" xfId="11" applyNumberFormat="1" applyFont="1" applyBorder="1" applyAlignment="1">
      <alignment horizontal="center" vertical="center"/>
    </xf>
    <xf numFmtId="0" fontId="60" fillId="0" borderId="2" xfId="4" applyFont="1" applyBorder="1" applyAlignment="1">
      <alignment horizontal="center" vertical="center" wrapText="1"/>
    </xf>
    <xf numFmtId="49" fontId="60" fillId="0" borderId="2" xfId="4" applyNumberFormat="1" applyFont="1" applyBorder="1" applyAlignment="1">
      <alignment horizontal="justify" vertical="top" wrapText="1"/>
    </xf>
    <xf numFmtId="4" fontId="39" fillId="0" borderId="2" xfId="11" applyNumberFormat="1" applyFont="1" applyFill="1" applyBorder="1" applyAlignment="1">
      <alignment horizontal="center" vertical="center"/>
    </xf>
    <xf numFmtId="0" fontId="106" fillId="0" borderId="2" xfId="4" applyFont="1" applyBorder="1" applyAlignment="1">
      <alignment horizontal="center" vertical="center" wrapText="1"/>
    </xf>
    <xf numFmtId="49" fontId="124" fillId="0" borderId="2" xfId="4" applyNumberFormat="1" applyFont="1" applyBorder="1" applyAlignment="1">
      <alignment horizontal="center" vertical="center" wrapText="1"/>
    </xf>
    <xf numFmtId="49" fontId="106" fillId="0" borderId="2" xfId="4" applyNumberFormat="1" applyFont="1" applyFill="1" applyBorder="1" applyAlignment="1">
      <alignment horizontal="justify" vertical="top" wrapText="1"/>
    </xf>
    <xf numFmtId="4" fontId="125" fillId="18" borderId="2" xfId="11" applyNumberFormat="1" applyFont="1" applyFill="1" applyBorder="1" applyAlignment="1">
      <alignment horizontal="center" vertical="center"/>
    </xf>
    <xf numFmtId="4" fontId="107" fillId="0" borderId="2" xfId="11" applyNumberFormat="1" applyFont="1" applyFill="1" applyBorder="1" applyAlignment="1">
      <alignment horizontal="center" vertical="center"/>
    </xf>
    <xf numFmtId="4" fontId="107" fillId="0" borderId="2" xfId="11" applyNumberFormat="1" applyFont="1" applyBorder="1" applyAlignment="1">
      <alignment horizontal="center" vertical="center"/>
    </xf>
    <xf numFmtId="4" fontId="125" fillId="0" borderId="2" xfId="11" applyNumberFormat="1" applyFont="1" applyBorder="1" applyAlignment="1">
      <alignment horizontal="center" vertical="center"/>
    </xf>
    <xf numFmtId="4" fontId="126" fillId="0" borderId="2" xfId="11" applyNumberFormat="1" applyFont="1" applyBorder="1" applyAlignment="1">
      <alignment horizontal="center" vertical="center"/>
    </xf>
    <xf numFmtId="0" fontId="119" fillId="0" borderId="0" xfId="4" applyFont="1" applyFill="1"/>
    <xf numFmtId="4" fontId="126" fillId="0" borderId="2" xfId="11" applyNumberFormat="1" applyFont="1" applyFill="1" applyBorder="1" applyAlignment="1">
      <alignment horizontal="center" vertical="center"/>
    </xf>
    <xf numFmtId="49" fontId="106" fillId="0" borderId="2" xfId="4" applyNumberFormat="1" applyFont="1" applyBorder="1" applyAlignment="1">
      <alignment horizontal="center" vertical="center" wrapText="1"/>
    </xf>
    <xf numFmtId="0" fontId="95" fillId="0" borderId="2" xfId="4" applyFont="1" applyBorder="1" applyAlignment="1">
      <alignment horizontal="center" vertical="center" wrapText="1"/>
    </xf>
    <xf numFmtId="49" fontId="95" fillId="0" borderId="2" xfId="4" applyNumberFormat="1" applyFont="1" applyBorder="1" applyAlignment="1">
      <alignment horizontal="left" vertical="center" wrapText="1"/>
    </xf>
    <xf numFmtId="4" fontId="98" fillId="11" borderId="2" xfId="11" applyNumberFormat="1" applyFont="1" applyFill="1" applyBorder="1" applyAlignment="1">
      <alignment horizontal="center" vertical="center"/>
    </xf>
    <xf numFmtId="4" fontId="98" fillId="0" borderId="2" xfId="11" applyNumberFormat="1" applyFont="1" applyFill="1" applyBorder="1" applyAlignment="1">
      <alignment horizontal="center" vertical="center"/>
    </xf>
    <xf numFmtId="4" fontId="123" fillId="3" borderId="2" xfId="11" applyNumberFormat="1" applyFont="1" applyFill="1" applyBorder="1" applyAlignment="1">
      <alignment horizontal="center" vertical="center"/>
    </xf>
    <xf numFmtId="4" fontId="107" fillId="11" borderId="2" xfId="11" applyNumberFormat="1" applyFont="1" applyFill="1" applyBorder="1" applyAlignment="1">
      <alignment horizontal="center" vertical="center"/>
    </xf>
    <xf numFmtId="4" fontId="126" fillId="3" borderId="2" xfId="11" applyNumberFormat="1" applyFont="1" applyFill="1" applyBorder="1" applyAlignment="1">
      <alignment horizontal="center" vertical="center"/>
    </xf>
    <xf numFmtId="49" fontId="95" fillId="0" borderId="2" xfId="4" applyNumberFormat="1" applyFont="1" applyBorder="1" applyAlignment="1">
      <alignment horizontal="left" vertical="top" wrapText="1"/>
    </xf>
    <xf numFmtId="4" fontId="98" fillId="3" borderId="2" xfId="11" applyNumberFormat="1" applyFont="1" applyFill="1" applyBorder="1" applyAlignment="1">
      <alignment horizontal="center" vertical="center"/>
    </xf>
    <xf numFmtId="4" fontId="98" fillId="18" borderId="2" xfId="11" applyNumberFormat="1" applyFont="1" applyFill="1" applyBorder="1" applyAlignment="1">
      <alignment horizontal="center" vertical="center"/>
    </xf>
    <xf numFmtId="49" fontId="95" fillId="0" borderId="2" xfId="4" applyNumberFormat="1" applyFont="1" applyFill="1" applyBorder="1" applyAlignment="1">
      <alignment horizontal="justify" vertical="top" wrapText="1"/>
    </xf>
    <xf numFmtId="4" fontId="123" fillId="0" borderId="2" xfId="11" applyNumberFormat="1" applyFont="1" applyFill="1" applyBorder="1" applyAlignment="1">
      <alignment horizontal="center" vertical="center"/>
    </xf>
    <xf numFmtId="4" fontId="39" fillId="0" borderId="2" xfId="11" applyNumberFormat="1" applyFont="1" applyBorder="1" applyAlignment="1">
      <alignment horizontal="center" vertical="center"/>
    </xf>
    <xf numFmtId="0" fontId="95" fillId="11" borderId="2" xfId="4" applyFont="1" applyFill="1" applyBorder="1" applyAlignment="1">
      <alignment horizontal="center" vertical="center" wrapText="1"/>
    </xf>
    <xf numFmtId="49" fontId="95" fillId="11" borderId="2" xfId="4" applyNumberFormat="1" applyFont="1" applyFill="1" applyBorder="1" applyAlignment="1">
      <alignment horizontal="center" vertical="center" wrapText="1"/>
    </xf>
    <xf numFmtId="49" fontId="95" fillId="11" borderId="2" xfId="4" applyNumberFormat="1" applyFont="1" applyFill="1" applyBorder="1" applyAlignment="1">
      <alignment horizontal="left" vertical="center" wrapText="1"/>
    </xf>
    <xf numFmtId="49" fontId="106" fillId="11" borderId="2" xfId="4" applyNumberFormat="1" applyFont="1" applyFill="1" applyBorder="1" applyAlignment="1">
      <alignment horizontal="center" vertical="center" wrapText="1"/>
    </xf>
    <xf numFmtId="49" fontId="106" fillId="0" borderId="2" xfId="5" applyNumberFormat="1" applyFont="1" applyFill="1" applyBorder="1" applyAlignment="1" applyProtection="1">
      <alignment horizontal="justify" vertical="top" wrapText="1"/>
    </xf>
    <xf numFmtId="49" fontId="60" fillId="0" borderId="2" xfId="4" applyNumberFormat="1" applyFont="1" applyBorder="1" applyAlignment="1">
      <alignment horizontal="left" vertical="center" wrapText="1"/>
    </xf>
    <xf numFmtId="49" fontId="95" fillId="11" borderId="2" xfId="4" applyNumberFormat="1" applyFont="1" applyFill="1" applyBorder="1" applyAlignment="1">
      <alignment horizontal="left" vertical="top" wrapText="1"/>
    </xf>
    <xf numFmtId="49" fontId="95" fillId="11" borderId="1" xfId="4" applyNumberFormat="1" applyFont="1" applyFill="1" applyBorder="1" applyAlignment="1">
      <alignment horizontal="left" vertical="top" wrapText="1"/>
    </xf>
    <xf numFmtId="4" fontId="123" fillId="11" borderId="2" xfId="11" applyNumberFormat="1" applyFont="1" applyFill="1" applyBorder="1" applyAlignment="1">
      <alignment horizontal="center" vertical="center"/>
    </xf>
    <xf numFmtId="49" fontId="95" fillId="0" borderId="2" xfId="4" applyNumberFormat="1" applyFont="1" applyFill="1" applyBorder="1" applyAlignment="1">
      <alignment horizontal="center" vertical="center" wrapText="1"/>
    </xf>
    <xf numFmtId="4" fontId="122" fillId="0" borderId="2" xfId="11" applyNumberFormat="1" applyFont="1" applyBorder="1" applyAlignment="1">
      <alignment horizontal="center" vertical="center"/>
    </xf>
    <xf numFmtId="4" fontId="122" fillId="0" borderId="2" xfId="11" applyNumberFormat="1" applyFont="1" applyFill="1" applyBorder="1" applyAlignment="1">
      <alignment horizontal="center" vertical="center"/>
    </xf>
    <xf numFmtId="49" fontId="95" fillId="0" borderId="1" xfId="4" applyNumberFormat="1" applyFont="1" applyBorder="1" applyAlignment="1">
      <alignment horizontal="left" vertical="top" wrapText="1"/>
    </xf>
    <xf numFmtId="164" fontId="60" fillId="11" borderId="1" xfId="11" applyNumberFormat="1" applyFont="1" applyFill="1" applyBorder="1" applyAlignment="1">
      <alignment vertical="top" wrapText="1"/>
    </xf>
    <xf numFmtId="0" fontId="106" fillId="11" borderId="2" xfId="4" applyFont="1" applyFill="1" applyBorder="1" applyAlignment="1">
      <alignment horizontal="center" vertical="center" wrapText="1"/>
    </xf>
    <xf numFmtId="49" fontId="95" fillId="0" borderId="2" xfId="4" applyNumberFormat="1" applyFont="1" applyFill="1" applyBorder="1" applyAlignment="1">
      <alignment horizontal="left" vertical="top" wrapText="1"/>
    </xf>
    <xf numFmtId="49" fontId="106" fillId="0" borderId="2" xfId="4" applyNumberFormat="1" applyFont="1" applyFill="1" applyBorder="1" applyAlignment="1">
      <alignment horizontal="left" vertical="top" wrapText="1"/>
    </xf>
    <xf numFmtId="49" fontId="60" fillId="11" borderId="2" xfId="4" applyNumberFormat="1" applyFont="1" applyFill="1" applyBorder="1" applyAlignment="1">
      <alignment horizontal="left" vertical="top" wrapText="1"/>
    </xf>
    <xf numFmtId="49" fontId="95" fillId="11" borderId="2" xfId="4" applyNumberFormat="1" applyFont="1" applyFill="1" applyBorder="1" applyAlignment="1">
      <alignment horizontal="justify" vertical="top" wrapText="1"/>
    </xf>
    <xf numFmtId="0" fontId="68" fillId="0" borderId="0" xfId="4" applyFont="1" applyFill="1"/>
    <xf numFmtId="0" fontId="76" fillId="0" borderId="0" xfId="4" applyFont="1" applyFill="1"/>
    <xf numFmtId="49" fontId="106" fillId="0" borderId="2" xfId="4" applyNumberFormat="1" applyFont="1" applyBorder="1" applyAlignment="1">
      <alignment horizontal="left" vertical="top" wrapText="1"/>
    </xf>
    <xf numFmtId="4" fontId="107" fillId="18" borderId="2" xfId="11" applyNumberFormat="1" applyFont="1" applyFill="1" applyBorder="1" applyAlignment="1">
      <alignment horizontal="center" vertical="center"/>
    </xf>
    <xf numFmtId="4" fontId="126" fillId="11" borderId="2" xfId="11" applyNumberFormat="1" applyFont="1" applyFill="1" applyBorder="1" applyAlignment="1">
      <alignment horizontal="center" vertical="center"/>
    </xf>
    <xf numFmtId="4" fontId="127" fillId="0" borderId="2" xfId="11" applyNumberFormat="1" applyFont="1" applyBorder="1" applyAlignment="1">
      <alignment horizontal="center" vertical="center"/>
    </xf>
    <xf numFmtId="4" fontId="127" fillId="0" borderId="2" xfId="11" applyNumberFormat="1" applyFont="1" applyFill="1" applyBorder="1" applyAlignment="1">
      <alignment horizontal="center" vertical="center"/>
    </xf>
    <xf numFmtId="49" fontId="95" fillId="0" borderId="2" xfId="5" applyNumberFormat="1" applyFont="1" applyFill="1" applyBorder="1" applyAlignment="1" applyProtection="1">
      <alignment horizontal="left" vertical="top" wrapText="1"/>
    </xf>
    <xf numFmtId="49" fontId="95" fillId="0" borderId="2" xfId="4" applyNumberFormat="1" applyFont="1" applyFill="1" applyBorder="1" applyAlignment="1">
      <alignment horizontal="left" vertical="center" wrapText="1"/>
    </xf>
    <xf numFmtId="49" fontId="106" fillId="0" borderId="2" xfId="4" applyNumberFormat="1" applyFont="1" applyFill="1" applyBorder="1" applyAlignment="1">
      <alignment horizontal="center" vertical="center" wrapText="1"/>
    </xf>
    <xf numFmtId="0" fontId="95" fillId="0" borderId="2" xfId="4" applyFont="1" applyBorder="1" applyAlignment="1">
      <alignment wrapText="1"/>
    </xf>
    <xf numFmtId="0" fontId="106" fillId="0" borderId="2" xfId="4" applyFont="1" applyBorder="1" applyAlignment="1">
      <alignment wrapText="1"/>
    </xf>
    <xf numFmtId="49" fontId="106" fillId="0" borderId="2" xfId="4" applyNumberFormat="1" applyFont="1" applyFill="1" applyBorder="1" applyAlignment="1">
      <alignment horizontal="left" vertical="center" wrapText="1"/>
    </xf>
    <xf numFmtId="0" fontId="95" fillId="18" borderId="2" xfId="4" applyFont="1" applyFill="1" applyBorder="1" applyAlignment="1">
      <alignment horizontal="center" vertical="center" wrapText="1"/>
    </xf>
    <xf numFmtId="0" fontId="60" fillId="18" borderId="2" xfId="4" applyFont="1" applyFill="1" applyBorder="1" applyAlignment="1">
      <alignment horizontal="center" vertical="center" wrapText="1"/>
    </xf>
    <xf numFmtId="4" fontId="39" fillId="18" borderId="2" xfId="4" applyNumberFormat="1" applyFont="1" applyFill="1" applyBorder="1" applyAlignment="1">
      <alignment horizontal="center" vertical="center" wrapText="1"/>
    </xf>
    <xf numFmtId="4" fontId="122" fillId="18" borderId="2" xfId="4" applyNumberFormat="1" applyFont="1" applyFill="1" applyBorder="1" applyAlignment="1">
      <alignment horizontal="center" vertical="center" wrapText="1"/>
    </xf>
    <xf numFmtId="49" fontId="106" fillId="0" borderId="2" xfId="5" applyNumberFormat="1" applyFont="1" applyFill="1" applyBorder="1" applyAlignment="1" applyProtection="1">
      <alignment horizontal="left" vertical="top" wrapText="1"/>
    </xf>
    <xf numFmtId="49" fontId="106" fillId="0" borderId="1" xfId="5" applyNumberFormat="1" applyFont="1" applyFill="1" applyBorder="1" applyAlignment="1" applyProtection="1">
      <alignment horizontal="justify" vertical="top" wrapText="1"/>
    </xf>
    <xf numFmtId="0" fontId="106" fillId="0" borderId="1" xfId="4" applyFont="1" applyBorder="1" applyAlignment="1">
      <alignment horizontal="center" vertical="center" wrapText="1"/>
    </xf>
    <xf numFmtId="0" fontId="95" fillId="0" borderId="1" xfId="4" applyFont="1" applyBorder="1" applyAlignment="1">
      <alignment horizontal="center" vertical="center" wrapText="1"/>
    </xf>
    <xf numFmtId="49" fontId="106" fillId="0" borderId="1" xfId="4" applyNumberFormat="1" applyFont="1" applyBorder="1" applyAlignment="1">
      <alignment horizontal="center" vertical="center" wrapText="1"/>
    </xf>
    <xf numFmtId="49" fontId="60" fillId="0" borderId="1" xfId="4" applyNumberFormat="1" applyFont="1" applyBorder="1" applyAlignment="1">
      <alignment horizontal="left" vertical="center" wrapText="1"/>
    </xf>
    <xf numFmtId="49" fontId="95" fillId="0" borderId="1" xfId="5" applyNumberFormat="1" applyFont="1" applyFill="1" applyBorder="1" applyAlignment="1" applyProtection="1">
      <alignment horizontal="center" vertical="center" wrapText="1"/>
    </xf>
    <xf numFmtId="49" fontId="95" fillId="0" borderId="1" xfId="5" applyNumberFormat="1" applyFont="1" applyFill="1" applyBorder="1" applyAlignment="1" applyProtection="1">
      <alignment horizontal="left" vertical="top" wrapText="1"/>
    </xf>
    <xf numFmtId="49" fontId="106" fillId="0" borderId="2" xfId="5" applyNumberFormat="1" applyFont="1" applyFill="1" applyBorder="1" applyAlignment="1" applyProtection="1">
      <alignment horizontal="center" vertical="center" wrapText="1"/>
    </xf>
    <xf numFmtId="0" fontId="106" fillId="0" borderId="2" xfId="5" applyNumberFormat="1" applyFont="1" applyFill="1" applyBorder="1" applyAlignment="1" applyProtection="1">
      <alignment horizontal="justify" vertical="top" wrapText="1"/>
    </xf>
    <xf numFmtId="49" fontId="95" fillId="0" borderId="2" xfId="5" applyNumberFormat="1" applyFont="1" applyFill="1" applyBorder="1" applyAlignment="1" applyProtection="1">
      <alignment horizontal="center" vertical="center" wrapText="1"/>
    </xf>
    <xf numFmtId="0" fontId="98" fillId="0" borderId="2" xfId="4" applyFont="1" applyBorder="1" applyAlignment="1">
      <alignment horizontal="center" vertical="center" wrapText="1"/>
    </xf>
    <xf numFmtId="0" fontId="60" fillId="0" borderId="2" xfId="4" applyFont="1" applyBorder="1" applyAlignment="1">
      <alignment horizontal="justify" vertical="center" wrapText="1"/>
    </xf>
    <xf numFmtId="49" fontId="95" fillId="0" borderId="3" xfId="5" applyNumberFormat="1" applyFont="1" applyFill="1" applyBorder="1" applyAlignment="1" applyProtection="1">
      <alignment horizontal="center" vertical="center" wrapText="1"/>
    </xf>
    <xf numFmtId="49" fontId="106" fillId="0" borderId="3" xfId="5" applyNumberFormat="1" applyFont="1" applyFill="1" applyBorder="1" applyAlignment="1" applyProtection="1">
      <alignment horizontal="left" vertical="top" wrapText="1"/>
    </xf>
    <xf numFmtId="0" fontId="119" fillId="0" borderId="2" xfId="4" applyNumberFormat="1" applyFont="1" applyFill="1" applyBorder="1" applyAlignment="1" applyProtection="1"/>
    <xf numFmtId="49" fontId="95" fillId="0" borderId="2" xfId="5" applyNumberFormat="1" applyFont="1" applyFill="1" applyBorder="1" applyAlignment="1" applyProtection="1">
      <alignment horizontal="left" vertical="center" wrapText="1"/>
    </xf>
    <xf numFmtId="49" fontId="95" fillId="0" borderId="1" xfId="5" applyNumberFormat="1" applyFont="1" applyFill="1" applyBorder="1" applyAlignment="1" applyProtection="1">
      <alignment horizontal="left" vertical="center" wrapText="1"/>
    </xf>
    <xf numFmtId="49" fontId="95" fillId="0" borderId="5" xfId="5" applyNumberFormat="1" applyFont="1" applyFill="1" applyBorder="1" applyAlignment="1" applyProtection="1">
      <alignment horizontal="center" vertical="center" wrapText="1"/>
    </xf>
    <xf numFmtId="49" fontId="106" fillId="0" borderId="5" xfId="5" applyNumberFormat="1" applyFont="1" applyFill="1" applyBorder="1" applyAlignment="1" applyProtection="1">
      <alignment horizontal="center" vertical="center" wrapText="1"/>
    </xf>
    <xf numFmtId="0" fontId="95" fillId="0" borderId="2" xfId="4" applyNumberFormat="1" applyFont="1" applyFill="1" applyBorder="1" applyAlignment="1" applyProtection="1">
      <alignment horizontal="center"/>
    </xf>
    <xf numFmtId="0" fontId="95" fillId="0" borderId="2" xfId="4" applyNumberFormat="1" applyFont="1" applyFill="1" applyBorder="1" applyAlignment="1" applyProtection="1">
      <alignment horizontal="left" vertical="top" wrapText="1"/>
    </xf>
    <xf numFmtId="2" fontId="95" fillId="0" borderId="2" xfId="5" applyNumberFormat="1" applyFont="1" applyFill="1" applyBorder="1" applyAlignment="1" applyProtection="1">
      <alignment horizontal="left" vertical="top" wrapText="1"/>
    </xf>
    <xf numFmtId="0" fontId="95" fillId="0" borderId="0" xfId="4" applyFont="1" applyAlignment="1">
      <alignment vertical="top" wrapText="1"/>
    </xf>
    <xf numFmtId="49" fontId="95" fillId="0" borderId="2" xfId="5" applyNumberFormat="1" applyFont="1" applyFill="1" applyBorder="1" applyAlignment="1" applyProtection="1">
      <alignment horizontal="justify" vertical="top" wrapText="1"/>
    </xf>
    <xf numFmtId="0" fontId="119" fillId="0" borderId="2" xfId="4" applyFont="1" applyFill="1" applyBorder="1"/>
    <xf numFmtId="0" fontId="95" fillId="0" borderId="2" xfId="4" applyFont="1" applyFill="1" applyBorder="1" applyAlignment="1">
      <alignment horizontal="center" vertical="center" wrapText="1"/>
    </xf>
    <xf numFmtId="0" fontId="95" fillId="0" borderId="2" xfId="4" applyFont="1" applyFill="1" applyBorder="1" applyAlignment="1">
      <alignment horizontal="center" vertical="center"/>
    </xf>
    <xf numFmtId="2" fontId="95" fillId="0" borderId="2" xfId="5" applyNumberFormat="1" applyFont="1" applyFill="1" applyBorder="1" applyAlignment="1" applyProtection="1">
      <alignment horizontal="justify" vertical="top" wrapText="1"/>
    </xf>
    <xf numFmtId="0" fontId="106" fillId="0" borderId="2" xfId="4" applyFont="1" applyFill="1" applyBorder="1" applyAlignment="1">
      <alignment horizontal="center" vertical="center" wrapText="1"/>
    </xf>
    <xf numFmtId="49" fontId="60" fillId="0" borderId="2" xfId="4" applyNumberFormat="1" applyFont="1" applyFill="1" applyBorder="1" applyAlignment="1">
      <alignment horizontal="center" vertical="center" wrapText="1"/>
    </xf>
    <xf numFmtId="49" fontId="60" fillId="18" borderId="2" xfId="4" applyNumberFormat="1" applyFont="1" applyFill="1" applyBorder="1" applyAlignment="1">
      <alignment horizontal="left" vertical="top" wrapText="1"/>
    </xf>
    <xf numFmtId="4" fontId="125" fillId="0" borderId="2" xfId="11" applyNumberFormat="1" applyFont="1" applyFill="1" applyBorder="1" applyAlignment="1">
      <alignment horizontal="center" vertical="center"/>
    </xf>
    <xf numFmtId="2" fontId="95" fillId="11" borderId="2" xfId="4" applyNumberFormat="1" applyFont="1" applyFill="1" applyBorder="1" applyAlignment="1">
      <alignment horizontal="left" vertical="top" wrapText="1"/>
    </xf>
    <xf numFmtId="2" fontId="95" fillId="0" borderId="2" xfId="4" applyNumberFormat="1" applyFont="1" applyBorder="1" applyAlignment="1">
      <alignment horizontal="left" vertical="top" wrapText="1"/>
    </xf>
    <xf numFmtId="49" fontId="60" fillId="0" borderId="2" xfId="4" applyNumberFormat="1" applyFont="1" applyBorder="1" applyAlignment="1">
      <alignment horizontal="left" vertical="top" wrapText="1"/>
    </xf>
    <xf numFmtId="49" fontId="106" fillId="0" borderId="2" xfId="4" applyNumberFormat="1" applyFont="1" applyBorder="1" applyAlignment="1">
      <alignment horizontal="justify" vertical="top" wrapText="1"/>
    </xf>
    <xf numFmtId="49" fontId="95" fillId="3" borderId="2" xfId="4" applyNumberFormat="1" applyFont="1" applyFill="1" applyBorder="1" applyAlignment="1">
      <alignment horizontal="justify" vertical="top" wrapText="1"/>
    </xf>
    <xf numFmtId="0" fontId="124" fillId="0" borderId="2" xfId="4" applyFont="1" applyBorder="1" applyAlignment="1">
      <alignment horizontal="center" vertical="center" wrapText="1"/>
    </xf>
    <xf numFmtId="49" fontId="106" fillId="0" borderId="2" xfId="4" applyNumberFormat="1" applyFont="1" applyBorder="1" applyAlignment="1">
      <alignment horizontal="left" vertical="center" wrapText="1"/>
    </xf>
    <xf numFmtId="4" fontId="55" fillId="0" borderId="0" xfId="4" applyNumberFormat="1" applyFont="1" applyFill="1"/>
    <xf numFmtId="0" fontId="60" fillId="18" borderId="2" xfId="4" applyFont="1" applyFill="1" applyBorder="1" applyAlignment="1">
      <alignment horizontal="justify" vertical="top" wrapText="1" shrinkToFit="1"/>
    </xf>
    <xf numFmtId="2" fontId="106" fillId="0" borderId="2" xfId="5" applyNumberFormat="1" applyFont="1" applyFill="1" applyBorder="1" applyAlignment="1" applyProtection="1">
      <alignment horizontal="justify" vertical="top" wrapText="1"/>
    </xf>
    <xf numFmtId="49" fontId="106" fillId="0" borderId="2" xfId="5" applyNumberFormat="1" applyFont="1" applyFill="1" applyBorder="1" applyAlignment="1" applyProtection="1">
      <alignment horizontal="left" vertical="top" wrapText="1" indent="3"/>
    </xf>
    <xf numFmtId="2" fontId="95" fillId="18" borderId="2" xfId="4" applyNumberFormat="1" applyFont="1" applyFill="1" applyBorder="1" applyAlignment="1">
      <alignment horizontal="center" vertical="center" wrapText="1"/>
    </xf>
    <xf numFmtId="4" fontId="60" fillId="18" borderId="2" xfId="4" applyNumberFormat="1" applyFont="1" applyFill="1" applyBorder="1" applyAlignment="1">
      <alignment horizontal="center" vertical="center" wrapText="1"/>
    </xf>
    <xf numFmtId="49" fontId="39" fillId="18" borderId="2" xfId="4" applyNumberFormat="1" applyFont="1" applyFill="1" applyBorder="1" applyAlignment="1">
      <alignment horizontal="center" vertical="center" wrapText="1"/>
    </xf>
    <xf numFmtId="0" fontId="39" fillId="18" borderId="2" xfId="4" applyFont="1" applyFill="1" applyBorder="1" applyAlignment="1">
      <alignment horizontal="center" vertical="center" wrapText="1"/>
    </xf>
    <xf numFmtId="0" fontId="39" fillId="18" borderId="2" xfId="4" applyFont="1" applyFill="1" applyBorder="1" applyAlignment="1">
      <alignment horizontal="justify" vertical="top" wrapText="1" shrinkToFit="1"/>
    </xf>
    <xf numFmtId="4" fontId="39" fillId="18" borderId="2" xfId="4" applyNumberFormat="1" applyFont="1" applyFill="1" applyBorder="1" applyAlignment="1">
      <alignment horizontal="center" vertical="center"/>
    </xf>
    <xf numFmtId="4" fontId="98" fillId="0" borderId="0" xfId="4" applyNumberFormat="1" applyFont="1" applyFill="1" applyAlignment="1">
      <alignment vertical="center"/>
    </xf>
    <xf numFmtId="0" fontId="98" fillId="0" borderId="0" xfId="4" applyFont="1" applyFill="1" applyAlignment="1">
      <alignment vertical="center"/>
    </xf>
    <xf numFmtId="49" fontId="128" fillId="0" borderId="0" xfId="4" applyNumberFormat="1" applyFont="1" applyFill="1" applyBorder="1" applyAlignment="1">
      <alignment horizontal="center" vertical="center" wrapText="1"/>
    </xf>
    <xf numFmtId="0" fontId="129" fillId="0" borderId="0" xfId="4" applyFont="1" applyFill="1" applyBorder="1" applyAlignment="1">
      <alignment horizontal="center" vertical="center" wrapText="1"/>
    </xf>
    <xf numFmtId="49" fontId="129" fillId="0" borderId="0" xfId="4" applyNumberFormat="1" applyFont="1" applyFill="1" applyBorder="1" applyAlignment="1">
      <alignment horizontal="center" vertical="center" wrapText="1"/>
    </xf>
    <xf numFmtId="0" fontId="129" fillId="0" borderId="0" xfId="4" applyFont="1" applyFill="1" applyBorder="1" applyAlignment="1">
      <alignment horizontal="right" vertical="top" wrapText="1" shrinkToFit="1"/>
    </xf>
    <xf numFmtId="4" fontId="129" fillId="0" borderId="0" xfId="4" applyNumberFormat="1" applyFont="1" applyFill="1" applyBorder="1" applyAlignment="1">
      <alignment horizontal="center" wrapText="1"/>
    </xf>
    <xf numFmtId="4" fontId="130" fillId="0" borderId="0" xfId="4" applyNumberFormat="1" applyFont="1" applyFill="1" applyBorder="1" applyAlignment="1">
      <alignment horizontal="center" vertical="center"/>
    </xf>
    <xf numFmtId="4" fontId="39" fillId="0" borderId="0" xfId="4" applyNumberFormat="1" applyFont="1" applyFill="1" applyBorder="1" applyAlignment="1">
      <alignment horizontal="center" vertical="center"/>
    </xf>
    <xf numFmtId="4" fontId="130" fillId="0" borderId="0" xfId="11" applyNumberFormat="1" applyFont="1" applyFill="1" applyBorder="1" applyAlignment="1">
      <alignment horizontal="center" vertical="center"/>
    </xf>
    <xf numFmtId="0" fontId="129" fillId="0" borderId="0" xfId="4" applyFont="1" applyFill="1" applyAlignment="1">
      <alignment vertical="center"/>
    </xf>
    <xf numFmtId="49" fontId="60" fillId="0" borderId="0" xfId="4" applyNumberFormat="1" applyFont="1" applyFill="1" applyBorder="1" applyAlignment="1">
      <alignment horizontal="center" vertical="center" wrapText="1"/>
    </xf>
    <xf numFmtId="174" fontId="39" fillId="0" borderId="0" xfId="4" applyNumberFormat="1" applyFont="1" applyFill="1" applyBorder="1" applyAlignment="1">
      <alignment horizontal="center" vertical="center"/>
    </xf>
    <xf numFmtId="4" fontId="39" fillId="11" borderId="0" xfId="4" applyNumberFormat="1" applyFont="1" applyFill="1" applyBorder="1" applyAlignment="1">
      <alignment horizontal="center" vertical="center"/>
    </xf>
    <xf numFmtId="0" fontId="116" fillId="0" borderId="0" xfId="4" applyNumberFormat="1" applyFont="1" applyFill="1" applyAlignment="1" applyProtection="1"/>
    <xf numFmtId="4" fontId="113" fillId="0" borderId="0" xfId="4" applyNumberFormat="1" applyFont="1" applyFill="1" applyAlignment="1" applyProtection="1"/>
    <xf numFmtId="0" fontId="113" fillId="11" borderId="0" xfId="4" applyNumberFormat="1" applyFont="1" applyFill="1" applyBorder="1" applyAlignment="1" applyProtection="1"/>
    <xf numFmtId="4" fontId="113" fillId="11" borderId="0" xfId="4" applyNumberFormat="1" applyFont="1" applyFill="1" applyBorder="1" applyAlignment="1" applyProtection="1"/>
    <xf numFmtId="0" fontId="113" fillId="0" borderId="0" xfId="4" applyNumberFormat="1" applyFont="1" applyFill="1" applyAlignment="1" applyProtection="1"/>
    <xf numFmtId="4" fontId="115" fillId="0" borderId="0" xfId="4" applyNumberFormat="1" applyFont="1" applyFill="1" applyAlignment="1" applyProtection="1"/>
    <xf numFmtId="4" fontId="116" fillId="0" borderId="0" xfId="4" applyNumberFormat="1" applyFont="1" applyFill="1"/>
    <xf numFmtId="0" fontId="116" fillId="0" borderId="0" xfId="4" applyFont="1" applyFill="1"/>
    <xf numFmtId="10" fontId="68" fillId="0" borderId="0" xfId="4" applyNumberFormat="1" applyFont="1" applyFill="1" applyAlignment="1" applyProtection="1">
      <alignment horizontal="center"/>
    </xf>
    <xf numFmtId="2" fontId="55" fillId="0" borderId="0" xfId="4" applyNumberFormat="1" applyFont="1" applyFill="1" applyAlignment="1" applyProtection="1"/>
    <xf numFmtId="2" fontId="117" fillId="0" borderId="0" xfId="4" applyNumberFormat="1" applyFont="1" applyFill="1" applyAlignment="1" applyProtection="1"/>
    <xf numFmtId="4" fontId="68" fillId="0" borderId="0" xfId="4" applyNumberFormat="1" applyFont="1" applyFill="1" applyAlignment="1" applyProtection="1"/>
    <xf numFmtId="0" fontId="117" fillId="0" borderId="0" xfId="4" applyNumberFormat="1" applyFont="1" applyFill="1" applyAlignment="1" applyProtection="1"/>
    <xf numFmtId="4" fontId="117" fillId="0" borderId="0" xfId="4" applyNumberFormat="1" applyFont="1" applyFill="1" applyAlignment="1" applyProtection="1"/>
    <xf numFmtId="0" fontId="117" fillId="0" borderId="0" xfId="4" applyFont="1" applyFill="1"/>
    <xf numFmtId="0" fontId="55" fillId="11" borderId="0" xfId="4" applyNumberFormat="1" applyFont="1" applyFill="1" applyAlignment="1" applyProtection="1"/>
    <xf numFmtId="4" fontId="68" fillId="11" borderId="0" xfId="4" applyNumberFormat="1" applyFont="1" applyFill="1" applyAlignment="1" applyProtection="1"/>
    <xf numFmtId="0" fontId="55" fillId="11" borderId="0" xfId="4" applyFont="1" applyFill="1"/>
    <xf numFmtId="4" fontId="68" fillId="10" borderId="0" xfId="4" applyNumberFormat="1" applyFont="1" applyFill="1" applyAlignment="1" applyProtection="1"/>
    <xf numFmtId="0" fontId="55" fillId="0" borderId="0" xfId="4" applyNumberFormat="1" applyFont="1" applyFill="1" applyAlignment="1" applyProtection="1">
      <alignment horizontal="right"/>
    </xf>
    <xf numFmtId="4" fontId="131" fillId="0" borderId="0" xfId="4" applyNumberFormat="1" applyFont="1" applyFill="1" applyAlignment="1" applyProtection="1">
      <alignment horizontal="center"/>
    </xf>
    <xf numFmtId="0" fontId="98" fillId="0" borderId="0" xfId="4" applyNumberFormat="1" applyFont="1" applyFill="1" applyAlignment="1" applyProtection="1">
      <alignment horizontal="right"/>
    </xf>
    <xf numFmtId="0" fontId="39" fillId="0" borderId="0" xfId="4" applyNumberFormat="1" applyFont="1" applyFill="1" applyAlignment="1" applyProtection="1"/>
    <xf numFmtId="4" fontId="39" fillId="0" borderId="0" xfId="4" applyNumberFormat="1" applyFont="1" applyFill="1" applyAlignment="1" applyProtection="1"/>
    <xf numFmtId="0" fontId="132" fillId="0" borderId="0" xfId="4" applyNumberFormat="1" applyFont="1" applyFill="1" applyAlignment="1" applyProtection="1"/>
    <xf numFmtId="0" fontId="132" fillId="0" borderId="0" xfId="4" applyFont="1" applyFill="1"/>
    <xf numFmtId="0" fontId="132" fillId="0" borderId="0" xfId="4" applyFont="1" applyFill="1" applyAlignment="1">
      <alignment horizontal="center"/>
    </xf>
    <xf numFmtId="0" fontId="113" fillId="0" borderId="0" xfId="4" applyNumberFormat="1" applyFont="1" applyFill="1" applyAlignment="1" applyProtection="1">
      <alignment horizontal="center" vertical="center" wrapText="1"/>
    </xf>
    <xf numFmtId="0" fontId="99" fillId="0" borderId="0" xfId="4" applyFont="1" applyFill="1" applyAlignment="1">
      <alignment horizontal="right"/>
    </xf>
    <xf numFmtId="0" fontId="99" fillId="0" borderId="15" xfId="4" applyNumberFormat="1" applyFont="1" applyFill="1" applyBorder="1" applyAlignment="1" applyProtection="1">
      <alignment horizontal="right" vertical="center"/>
    </xf>
    <xf numFmtId="0" fontId="132" fillId="0" borderId="2" xfId="4" applyNumberFormat="1" applyFont="1" applyFill="1" applyBorder="1" applyAlignment="1" applyProtection="1">
      <alignment horizontal="center" vertical="center" wrapText="1"/>
    </xf>
    <xf numFmtId="0" fontId="134" fillId="0" borderId="1" xfId="4" applyNumberFormat="1" applyFont="1" applyFill="1" applyBorder="1" applyAlignment="1" applyProtection="1">
      <alignment horizontal="center" vertical="center" wrapText="1"/>
    </xf>
    <xf numFmtId="0" fontId="132" fillId="0" borderId="1" xfId="4" applyNumberFormat="1" applyFont="1" applyFill="1" applyBorder="1" applyAlignment="1" applyProtection="1">
      <alignment horizontal="center" vertical="center" wrapText="1"/>
    </xf>
    <xf numFmtId="0" fontId="95" fillId="0" borderId="3" xfId="4" applyFont="1" applyBorder="1" applyAlignment="1">
      <alignment horizontal="center" vertical="center" wrapText="1"/>
    </xf>
    <xf numFmtId="0" fontId="95" fillId="0" borderId="3" xfId="4" applyNumberFormat="1" applyFont="1" applyFill="1" applyBorder="1" applyAlignment="1" applyProtection="1">
      <alignment horizontal="center" vertical="center" wrapText="1"/>
    </xf>
    <xf numFmtId="0" fontId="95" fillId="0" borderId="2" xfId="4" applyNumberFormat="1" applyFont="1" applyFill="1" applyBorder="1" applyAlignment="1" applyProtection="1">
      <alignment horizontal="center" vertical="center" wrapText="1"/>
    </xf>
    <xf numFmtId="49" fontId="60" fillId="19" borderId="2" xfId="4" applyNumberFormat="1" applyFont="1" applyFill="1" applyBorder="1" applyAlignment="1">
      <alignment horizontal="center" vertical="center" wrapText="1"/>
    </xf>
    <xf numFmtId="0" fontId="60" fillId="19" borderId="2" xfId="4" applyFont="1" applyFill="1" applyBorder="1" applyAlignment="1">
      <alignment horizontal="justify" vertical="center" wrapText="1"/>
    </xf>
    <xf numFmtId="4" fontId="39" fillId="19" borderId="2" xfId="4" applyNumberFormat="1" applyFont="1" applyFill="1" applyBorder="1" applyAlignment="1">
      <alignment horizontal="right"/>
    </xf>
    <xf numFmtId="4" fontId="135" fillId="19" borderId="2" xfId="4" applyNumberFormat="1" applyFont="1" applyFill="1" applyBorder="1" applyAlignment="1">
      <alignment horizontal="right"/>
    </xf>
    <xf numFmtId="4" fontId="39" fillId="19" borderId="2" xfId="4" applyNumberFormat="1" applyFont="1" applyFill="1" applyBorder="1" applyAlignment="1" applyProtection="1">
      <alignment horizontal="right"/>
    </xf>
    <xf numFmtId="0" fontId="136" fillId="0" borderId="0" xfId="4" applyFont="1" applyFill="1"/>
    <xf numFmtId="0" fontId="60" fillId="0" borderId="2" xfId="4" applyFont="1" applyBorder="1" applyAlignment="1">
      <alignment vertical="center" wrapText="1"/>
    </xf>
    <xf numFmtId="4" fontId="39" fillId="0" borderId="2" xfId="4" applyNumberFormat="1" applyFont="1" applyBorder="1" applyAlignment="1">
      <alignment horizontal="right"/>
    </xf>
    <xf numFmtId="4" fontId="135" fillId="0" borderId="2" xfId="4" applyNumberFormat="1" applyFont="1" applyBorder="1" applyAlignment="1">
      <alignment horizontal="right"/>
    </xf>
    <xf numFmtId="4" fontId="39" fillId="0" borderId="2" xfId="4" applyNumberFormat="1" applyFont="1" applyFill="1" applyBorder="1" applyAlignment="1" applyProtection="1">
      <alignment horizontal="right"/>
    </xf>
    <xf numFmtId="0" fontId="137" fillId="0" borderId="0" xfId="4" applyFont="1" applyFill="1"/>
    <xf numFmtId="0" fontId="106" fillId="0" borderId="2" xfId="4" applyFont="1" applyBorder="1" applyAlignment="1">
      <alignment vertical="center" wrapText="1"/>
    </xf>
    <xf numFmtId="4" fontId="98" fillId="0" borderId="2" xfId="4" applyNumberFormat="1" applyFont="1" applyBorder="1" applyAlignment="1">
      <alignment horizontal="right"/>
    </xf>
    <xf numFmtId="4" fontId="138" fillId="0" borderId="2" xfId="4" applyNumberFormat="1" applyFont="1" applyBorder="1" applyAlignment="1">
      <alignment horizontal="right"/>
    </xf>
    <xf numFmtId="4" fontId="98" fillId="0" borderId="2" xfId="4" applyNumberFormat="1" applyFont="1" applyFill="1" applyBorder="1" applyAlignment="1" applyProtection="1">
      <alignment horizontal="right"/>
    </xf>
    <xf numFmtId="0" fontId="106" fillId="0" borderId="2" xfId="4" applyFont="1" applyBorder="1" applyAlignment="1">
      <alignment horizontal="left" vertical="center" wrapText="1" indent="3"/>
    </xf>
    <xf numFmtId="4" fontId="138" fillId="0" borderId="2" xfId="4" applyNumberFormat="1" applyFont="1" applyFill="1" applyBorder="1" applyAlignment="1" applyProtection="1">
      <alignment horizontal="right"/>
    </xf>
    <xf numFmtId="49" fontId="60" fillId="19" borderId="2" xfId="4" applyNumberFormat="1" applyFont="1" applyFill="1" applyBorder="1" applyAlignment="1">
      <alignment horizontal="left" vertical="top" wrapText="1"/>
    </xf>
    <xf numFmtId="4" fontId="39" fillId="19" borderId="2" xfId="4" applyNumberFormat="1" applyFont="1" applyFill="1" applyBorder="1" applyAlignment="1">
      <alignment horizontal="right" vertical="center" wrapText="1"/>
    </xf>
    <xf numFmtId="0" fontId="60" fillId="0" borderId="2" xfId="4" applyFont="1" applyBorder="1" applyAlignment="1">
      <alignment horizontal="left" vertical="center" wrapText="1" indent="3"/>
    </xf>
    <xf numFmtId="4" fontId="39" fillId="0" borderId="2" xfId="4" applyNumberFormat="1" applyFont="1" applyFill="1" applyBorder="1" applyAlignment="1">
      <alignment horizontal="right"/>
    </xf>
    <xf numFmtId="0" fontId="106" fillId="0" borderId="2" xfId="4" applyFont="1" applyBorder="1" applyAlignment="1">
      <alignment horizontal="left" vertical="center" wrapText="1"/>
    </xf>
    <xf numFmtId="0" fontId="106" fillId="0" borderId="2" xfId="4" applyFont="1" applyBorder="1" applyAlignment="1">
      <alignment horizontal="left" vertical="center" wrapText="1" indent="1"/>
    </xf>
    <xf numFmtId="4" fontId="132" fillId="0" borderId="0" xfId="4" applyNumberFormat="1" applyFont="1" applyFill="1"/>
    <xf numFmtId="49" fontId="95" fillId="0" borderId="2" xfId="4" applyNumberFormat="1" applyFont="1" applyBorder="1" applyAlignment="1">
      <alignment vertical="center" wrapText="1"/>
    </xf>
    <xf numFmtId="0" fontId="139" fillId="0" borderId="2" xfId="4" applyFont="1" applyBorder="1" applyAlignment="1">
      <alignment horizontal="left" vertical="center" wrapText="1" indent="1"/>
    </xf>
    <xf numFmtId="4" fontId="140" fillId="0" borderId="2" xfId="4" applyNumberFormat="1" applyFont="1" applyBorder="1" applyAlignment="1">
      <alignment horizontal="right"/>
    </xf>
    <xf numFmtId="4" fontId="140" fillId="0" borderId="2" xfId="4" applyNumberFormat="1" applyFont="1" applyFill="1" applyBorder="1" applyAlignment="1">
      <alignment horizontal="right"/>
    </xf>
    <xf numFmtId="0" fontId="60" fillId="0" borderId="3" xfId="4" applyFont="1" applyBorder="1" applyAlignment="1">
      <alignment horizontal="center" vertical="center" wrapText="1"/>
    </xf>
    <xf numFmtId="49" fontId="95" fillId="0" borderId="3" xfId="4" applyNumberFormat="1" applyFont="1" applyBorder="1" applyAlignment="1">
      <alignment horizontal="center" vertical="center" wrapText="1"/>
    </xf>
    <xf numFmtId="0" fontId="60" fillId="19" borderId="2" xfId="4" applyFont="1" applyFill="1" applyBorder="1" applyAlignment="1">
      <alignment horizontal="center" vertical="center" wrapText="1"/>
    </xf>
    <xf numFmtId="49" fontId="39" fillId="19" borderId="2" xfId="4" applyNumberFormat="1" applyFont="1" applyFill="1" applyBorder="1" applyAlignment="1">
      <alignment horizontal="center" vertical="center" wrapText="1"/>
    </xf>
    <xf numFmtId="0" fontId="141" fillId="0" borderId="0" xfId="4" applyFont="1" applyFill="1"/>
    <xf numFmtId="0" fontId="113" fillId="3" borderId="0" xfId="4" applyFont="1" applyFill="1" applyAlignment="1">
      <alignment vertical="center"/>
    </xf>
    <xf numFmtId="0" fontId="95" fillId="3" borderId="0" xfId="4" applyFont="1" applyFill="1"/>
    <xf numFmtId="0" fontId="95" fillId="0" borderId="0" xfId="4" applyFont="1"/>
    <xf numFmtId="0" fontId="60" fillId="0" borderId="0" xfId="12" applyFont="1"/>
    <xf numFmtId="0" fontId="60" fillId="0" borderId="0" xfId="12" applyFont="1" applyAlignment="1">
      <alignment vertical="top"/>
    </xf>
    <xf numFmtId="0" fontId="95" fillId="0" borderId="0" xfId="4" applyFont="1" applyAlignment="1">
      <alignment horizontal="center" vertical="top"/>
    </xf>
    <xf numFmtId="0" fontId="95" fillId="0" borderId="0" xfId="4" applyFont="1" applyAlignment="1">
      <alignment horizontal="center"/>
    </xf>
    <xf numFmtId="3" fontId="95" fillId="0" borderId="0" xfId="4" applyNumberFormat="1" applyFont="1" applyAlignment="1">
      <alignment horizontal="right" vertical="top"/>
    </xf>
    <xf numFmtId="0" fontId="68" fillId="0" borderId="2" xfId="4" applyFont="1" applyBorder="1" applyAlignment="1">
      <alignment horizontal="center" vertical="center" wrapText="1"/>
    </xf>
    <xf numFmtId="3" fontId="68" fillId="0" borderId="2" xfId="4" applyNumberFormat="1" applyFont="1" applyBorder="1" applyAlignment="1">
      <alignment horizontal="center" vertical="center" wrapText="1"/>
    </xf>
    <xf numFmtId="0" fontId="95" fillId="0" borderId="2" xfId="4" applyFont="1" applyBorder="1" applyAlignment="1">
      <alignment horizontal="center" vertical="top"/>
    </xf>
    <xf numFmtId="3" fontId="95" fillId="0" borderId="2" xfId="4" applyNumberFormat="1" applyFont="1" applyBorder="1" applyAlignment="1">
      <alignment horizontal="center" vertical="top"/>
    </xf>
    <xf numFmtId="0" fontId="55" fillId="0" borderId="2" xfId="4" applyFont="1" applyBorder="1" applyAlignment="1">
      <alignment horizontal="center" vertical="top"/>
    </xf>
    <xf numFmtId="4" fontId="55" fillId="0" borderId="2" xfId="4" applyNumberFormat="1" applyFont="1" applyBorder="1" applyAlignment="1">
      <alignment horizontal="right" vertical="top"/>
    </xf>
    <xf numFmtId="0" fontId="55" fillId="3" borderId="2" xfId="4" applyFont="1" applyFill="1" applyBorder="1" applyAlignment="1">
      <alignment horizontal="center" vertical="top"/>
    </xf>
    <xf numFmtId="4" fontId="55" fillId="3" borderId="2" xfId="4" applyNumberFormat="1" applyFont="1" applyFill="1" applyBorder="1" applyAlignment="1">
      <alignment horizontal="right" vertical="top"/>
    </xf>
    <xf numFmtId="0" fontId="106" fillId="2" borderId="2" xfId="4" applyFont="1" applyFill="1" applyBorder="1" applyAlignment="1">
      <alignment horizontal="center" vertical="top"/>
    </xf>
    <xf numFmtId="4" fontId="95" fillId="0" borderId="2" xfId="4" applyNumberFormat="1" applyFont="1" applyBorder="1" applyAlignment="1">
      <alignment horizontal="right" vertical="top"/>
    </xf>
    <xf numFmtId="3" fontId="95" fillId="0" borderId="2" xfId="4" applyNumberFormat="1" applyFont="1" applyBorder="1" applyAlignment="1">
      <alignment horizontal="right" vertical="top"/>
    </xf>
    <xf numFmtId="3" fontId="55" fillId="0" borderId="2" xfId="4" applyNumberFormat="1" applyFont="1" applyBorder="1" applyAlignment="1">
      <alignment horizontal="right" vertical="top"/>
    </xf>
    <xf numFmtId="4" fontId="60" fillId="3" borderId="2" xfId="4" applyNumberFormat="1" applyFont="1" applyFill="1" applyBorder="1" applyAlignment="1">
      <alignment horizontal="right" vertical="top"/>
    </xf>
    <xf numFmtId="4" fontId="124" fillId="3" borderId="2" xfId="4" applyNumberFormat="1" applyFont="1" applyFill="1" applyBorder="1" applyAlignment="1">
      <alignment horizontal="right" vertical="top"/>
    </xf>
    <xf numFmtId="0" fontId="95" fillId="0" borderId="0" xfId="4" applyFont="1" applyBorder="1" applyAlignment="1">
      <alignment horizontal="center" vertical="top"/>
    </xf>
    <xf numFmtId="0" fontId="95" fillId="0" borderId="0" xfId="4" applyFont="1" applyBorder="1" applyAlignment="1">
      <alignment horizontal="center"/>
    </xf>
    <xf numFmtId="3" fontId="95" fillId="0" borderId="0" xfId="4" applyNumberFormat="1" applyFont="1" applyBorder="1" applyAlignment="1">
      <alignment horizontal="center" vertical="top"/>
    </xf>
    <xf numFmtId="0" fontId="95" fillId="0" borderId="0" xfId="4" applyFont="1" applyBorder="1"/>
    <xf numFmtId="3" fontId="95" fillId="0" borderId="0" xfId="4" applyNumberFormat="1" applyFont="1" applyBorder="1" applyAlignment="1">
      <alignment horizontal="right" vertical="top"/>
    </xf>
    <xf numFmtId="0" fontId="95" fillId="0" borderId="2" xfId="4" applyFont="1" applyBorder="1" applyAlignment="1">
      <alignment horizontal="center"/>
    </xf>
    <xf numFmtId="0" fontId="95" fillId="0" borderId="2" xfId="4" applyFont="1" applyBorder="1" applyAlignment="1">
      <alignment horizontal="center" vertical="center"/>
    </xf>
    <xf numFmtId="49" fontId="55" fillId="0" borderId="2" xfId="4" applyNumberFormat="1" applyFont="1" applyBorder="1" applyAlignment="1">
      <alignment horizontal="center" vertical="top"/>
    </xf>
    <xf numFmtId="4" fontId="95" fillId="0" borderId="2" xfId="4" applyNumberFormat="1" applyFont="1" applyFill="1" applyBorder="1" applyAlignment="1">
      <alignment horizontal="right" vertical="top"/>
    </xf>
    <xf numFmtId="4" fontId="95" fillId="0" borderId="2" xfId="4" applyNumberFormat="1" applyFont="1" applyBorder="1" applyAlignment="1">
      <alignment horizontal="right"/>
    </xf>
    <xf numFmtId="0" fontId="95" fillId="0" borderId="2" xfId="4" applyFont="1" applyFill="1" applyBorder="1"/>
    <xf numFmtId="0" fontId="55" fillId="3" borderId="2" xfId="4" applyFont="1" applyFill="1" applyBorder="1" applyAlignment="1">
      <alignment vertical="top" wrapText="1"/>
    </xf>
    <xf numFmtId="0" fontId="95" fillId="3" borderId="2" xfId="4" applyFont="1" applyFill="1" applyBorder="1" applyAlignment="1">
      <alignment vertical="top" wrapText="1"/>
    </xf>
    <xf numFmtId="0" fontId="124" fillId="0" borderId="2" xfId="4" applyFont="1" applyFill="1" applyBorder="1" applyAlignment="1">
      <alignment horizontal="center" vertical="top"/>
    </xf>
    <xf numFmtId="0" fontId="124" fillId="0" borderId="2" xfId="4" applyFont="1" applyFill="1" applyBorder="1" applyAlignment="1">
      <alignment horizontal="center"/>
    </xf>
    <xf numFmtId="0" fontId="60" fillId="0" borderId="2" xfId="4" applyFont="1" applyFill="1" applyBorder="1"/>
    <xf numFmtId="0" fontId="124" fillId="0" borderId="0" xfId="4" applyFont="1" applyFill="1"/>
    <xf numFmtId="3" fontId="124" fillId="0" borderId="0" xfId="4" applyNumberFormat="1" applyFont="1" applyFill="1"/>
    <xf numFmtId="0" fontId="124" fillId="0" borderId="2" xfId="4" applyFont="1" applyBorder="1"/>
    <xf numFmtId="4" fontId="124" fillId="0" borderId="0" xfId="4" applyNumberFormat="1" applyFont="1" applyFill="1"/>
    <xf numFmtId="2" fontId="51" fillId="0" borderId="0" xfId="4" applyNumberFormat="1" applyFont="1" applyAlignment="1">
      <alignment horizontal="right"/>
    </xf>
    <xf numFmtId="0" fontId="51" fillId="11" borderId="0" xfId="4" applyFont="1" applyFill="1"/>
    <xf numFmtId="2" fontId="51" fillId="0" borderId="0" xfId="4" applyNumberFormat="1" applyFont="1"/>
    <xf numFmtId="0" fontId="51" fillId="0" borderId="0" xfId="4" applyFont="1"/>
    <xf numFmtId="49" fontId="98" fillId="0" borderId="0" xfId="4" applyNumberFormat="1" applyFont="1" applyFill="1" applyAlignment="1" applyProtection="1">
      <alignment horizontal="left" vertical="top"/>
    </xf>
    <xf numFmtId="0" fontId="98" fillId="0" borderId="0" xfId="4" applyNumberFormat="1" applyFont="1" applyFill="1" applyAlignment="1" applyProtection="1">
      <alignment horizontal="left" vertical="top"/>
    </xf>
    <xf numFmtId="0" fontId="98" fillId="0" borderId="0" xfId="4" applyNumberFormat="1" applyFont="1" applyFill="1" applyAlignment="1" applyProtection="1">
      <alignment horizontal="left" vertical="center" wrapText="1"/>
    </xf>
    <xf numFmtId="0" fontId="98" fillId="0" borderId="0" xfId="4" applyFont="1" applyFill="1"/>
    <xf numFmtId="49" fontId="97"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49" fontId="39" fillId="0" borderId="0" xfId="4" applyNumberFormat="1" applyFont="1" applyFill="1" applyBorder="1" applyAlignment="1">
      <alignment horizontal="center"/>
    </xf>
    <xf numFmtId="0" fontId="39" fillId="0" borderId="0" xfId="4" applyFont="1" applyFill="1" applyBorder="1" applyAlignment="1">
      <alignment horizontal="center"/>
    </xf>
    <xf numFmtId="0" fontId="98" fillId="0" borderId="0" xfId="4" applyFont="1" applyFill="1" applyBorder="1" applyAlignment="1">
      <alignment horizontal="left" vertical="center" wrapText="1"/>
    </xf>
    <xf numFmtId="0" fontId="98" fillId="0" borderId="0" xfId="4" applyFont="1" applyFill="1" applyBorder="1" applyAlignment="1">
      <alignment horizontal="center"/>
    </xf>
    <xf numFmtId="0" fontId="39" fillId="0" borderId="0" xfId="4" applyNumberFormat="1" applyFont="1" applyFill="1" applyBorder="1" applyAlignment="1" applyProtection="1">
      <alignment horizontal="center" vertical="top"/>
    </xf>
    <xf numFmtId="4" fontId="55" fillId="0" borderId="0" xfId="4" applyNumberFormat="1" applyFont="1" applyFill="1" applyAlignment="1" applyProtection="1">
      <alignment horizontal="center"/>
    </xf>
    <xf numFmtId="0" fontId="55" fillId="0" borderId="0" xfId="4" applyFont="1" applyFill="1" applyBorder="1" applyAlignment="1">
      <alignment horizontal="center"/>
    </xf>
    <xf numFmtId="4" fontId="98" fillId="0" borderId="0" xfId="4" applyNumberFormat="1" applyFont="1" applyFill="1" applyBorder="1" applyAlignment="1" applyProtection="1">
      <alignment horizontal="center" vertical="center"/>
    </xf>
    <xf numFmtId="49" fontId="39" fillId="0" borderId="15"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49" fontId="39" fillId="0" borderId="15" xfId="4" applyNumberFormat="1" applyFont="1" applyFill="1" applyBorder="1" applyAlignment="1">
      <alignment horizontal="center"/>
    </xf>
    <xf numFmtId="0" fontId="39" fillId="0" borderId="15" xfId="4" applyFont="1" applyFill="1" applyBorder="1" applyAlignment="1">
      <alignment horizontal="center"/>
    </xf>
    <xf numFmtId="49" fontId="39" fillId="0" borderId="2" xfId="4" applyNumberFormat="1" applyFont="1" applyFill="1" applyBorder="1" applyAlignment="1" applyProtection="1">
      <alignment horizontal="center" vertical="center" wrapText="1"/>
    </xf>
    <xf numFmtId="49" fontId="39" fillId="11" borderId="2" xfId="4" applyNumberFormat="1" applyFont="1" applyFill="1" applyBorder="1" applyAlignment="1" applyProtection="1">
      <alignment horizontal="center" vertical="center" wrapText="1"/>
    </xf>
    <xf numFmtId="0" fontId="39" fillId="0" borderId="2" xfId="4" applyFont="1" applyBorder="1" applyAlignment="1">
      <alignment horizontal="center" vertical="center" wrapText="1"/>
    </xf>
    <xf numFmtId="4" fontId="39" fillId="11" borderId="2" xfId="4" applyNumberFormat="1" applyFont="1" applyFill="1" applyBorder="1" applyAlignment="1">
      <alignment horizontal="center" vertical="center" wrapText="1"/>
    </xf>
    <xf numFmtId="49" fontId="39" fillId="20" borderId="2" xfId="4" applyNumberFormat="1" applyFont="1" applyFill="1" applyBorder="1" applyAlignment="1" applyProtection="1">
      <alignment horizontal="center" vertical="center"/>
    </xf>
    <xf numFmtId="0" fontId="39" fillId="20" borderId="2" xfId="4" applyNumberFormat="1" applyFont="1" applyFill="1" applyBorder="1" applyAlignment="1" applyProtection="1"/>
    <xf numFmtId="49" fontId="39" fillId="20" borderId="2" xfId="4" applyNumberFormat="1" applyFont="1" applyFill="1" applyBorder="1" applyAlignment="1" applyProtection="1"/>
    <xf numFmtId="0" fontId="39" fillId="20" borderId="2" xfId="4" applyFont="1" applyFill="1" applyBorder="1" applyAlignment="1">
      <alignment horizontal="center" vertical="center" wrapText="1"/>
    </xf>
    <xf numFmtId="164" fontId="98" fillId="20" borderId="2" xfId="11" applyNumberFormat="1" applyFont="1" applyFill="1" applyBorder="1" applyAlignment="1">
      <alignment horizontal="left" vertical="center" wrapText="1"/>
    </xf>
    <xf numFmtId="164" fontId="98" fillId="20" borderId="2" xfId="11" applyNumberFormat="1" applyFont="1" applyFill="1" applyBorder="1" applyAlignment="1">
      <alignment horizontal="center" vertical="center" wrapText="1"/>
    </xf>
    <xf numFmtId="4" fontId="39" fillId="21" borderId="2" xfId="11" applyNumberFormat="1" applyFont="1" applyFill="1" applyBorder="1" applyAlignment="1">
      <alignment horizontal="center" vertical="center" wrapText="1"/>
    </xf>
    <xf numFmtId="164" fontId="98" fillId="3" borderId="2" xfId="11" applyNumberFormat="1" applyFont="1" applyFill="1" applyBorder="1" applyAlignment="1">
      <alignment horizontal="left" vertical="center" wrapText="1"/>
    </xf>
    <xf numFmtId="4" fontId="98" fillId="0" borderId="2" xfId="4" applyNumberFormat="1" applyFont="1" applyFill="1" applyBorder="1" applyAlignment="1">
      <alignment horizontal="center" vertical="center"/>
    </xf>
    <xf numFmtId="4" fontId="39" fillId="3" borderId="2" xfId="11" applyNumberFormat="1" applyFont="1" applyFill="1" applyBorder="1" applyAlignment="1">
      <alignment horizontal="center" vertical="center"/>
    </xf>
    <xf numFmtId="164" fontId="98" fillId="3" borderId="2" xfId="4" applyNumberFormat="1" applyFont="1" applyFill="1" applyBorder="1" applyAlignment="1" applyProtection="1">
      <alignment horizontal="center" vertical="center"/>
    </xf>
    <xf numFmtId="0" fontId="98" fillId="3" borderId="0" xfId="4" applyFont="1" applyFill="1"/>
    <xf numFmtId="0" fontId="98" fillId="3" borderId="2" xfId="4" applyFont="1" applyFill="1" applyBorder="1" applyAlignment="1">
      <alignment horizontal="left" vertical="center" wrapText="1"/>
    </xf>
    <xf numFmtId="2" fontId="98" fillId="3" borderId="2" xfId="4" applyNumberFormat="1" applyFont="1" applyFill="1" applyBorder="1" applyAlignment="1">
      <alignment horizontal="center" vertical="center" wrapText="1"/>
    </xf>
    <xf numFmtId="4" fontId="98" fillId="3" borderId="2" xfId="4" applyNumberFormat="1" applyFont="1" applyFill="1" applyBorder="1" applyAlignment="1">
      <alignment horizontal="center" vertical="center" wrapText="1"/>
    </xf>
    <xf numFmtId="164" fontId="98" fillId="3" borderId="2" xfId="4" applyNumberFormat="1" applyFont="1" applyFill="1" applyBorder="1" applyAlignment="1">
      <alignment horizontal="center" vertical="center" wrapText="1"/>
    </xf>
    <xf numFmtId="49" fontId="96" fillId="17" borderId="2" xfId="4" applyNumberFormat="1" applyFont="1" applyFill="1" applyBorder="1" applyAlignment="1" applyProtection="1">
      <alignment horizontal="center"/>
    </xf>
    <xf numFmtId="165" fontId="96" fillId="17" borderId="2" xfId="4" applyNumberFormat="1" applyFont="1" applyFill="1" applyBorder="1" applyAlignment="1" applyProtection="1">
      <alignment horizontal="center" vertical="center"/>
    </xf>
    <xf numFmtId="4" fontId="96" fillId="17" borderId="2" xfId="4" applyNumberFormat="1" applyFont="1" applyFill="1" applyBorder="1" applyAlignment="1" applyProtection="1">
      <alignment horizontal="center" vertical="center"/>
    </xf>
    <xf numFmtId="164" fontId="96" fillId="17" borderId="2" xfId="4" applyNumberFormat="1" applyFont="1" applyFill="1" applyBorder="1" applyAlignment="1" applyProtection="1">
      <alignment horizontal="center" vertical="center"/>
    </xf>
    <xf numFmtId="49" fontId="113" fillId="11" borderId="0" xfId="4" applyNumberFormat="1" applyFont="1" applyFill="1" applyBorder="1" applyAlignment="1" applyProtection="1">
      <alignment horizontal="center"/>
    </xf>
    <xf numFmtId="49" fontId="113" fillId="11" borderId="0" xfId="4" applyNumberFormat="1" applyFont="1" applyFill="1" applyBorder="1" applyAlignment="1" applyProtection="1">
      <alignment horizontal="left" vertical="center" wrapText="1"/>
    </xf>
    <xf numFmtId="4" fontId="113" fillId="11" borderId="0" xfId="4" applyNumberFormat="1" applyFont="1" applyFill="1" applyBorder="1" applyAlignment="1" applyProtection="1">
      <alignment horizontal="center"/>
    </xf>
    <xf numFmtId="0" fontId="113" fillId="0" borderId="0" xfId="4" applyFont="1" applyAlignment="1">
      <alignment horizontal="left" vertical="center" wrapText="1"/>
    </xf>
    <xf numFmtId="0" fontId="113" fillId="11" borderId="0" xfId="4" applyFont="1" applyFill="1"/>
    <xf numFmtId="0" fontId="113" fillId="0" borderId="0" xfId="4" applyFont="1" applyFill="1"/>
    <xf numFmtId="4" fontId="144" fillId="0" borderId="0" xfId="4" applyNumberFormat="1" applyFont="1" applyFill="1" applyAlignment="1" applyProtection="1">
      <alignment horizontal="center"/>
    </xf>
    <xf numFmtId="49" fontId="55" fillId="0" borderId="0" xfId="4" applyNumberFormat="1" applyFont="1" applyFill="1" applyAlignment="1" applyProtection="1"/>
    <xf numFmtId="49" fontId="68" fillId="0" borderId="0" xfId="4" applyNumberFormat="1" applyFont="1" applyFill="1" applyAlignment="1" applyProtection="1"/>
    <xf numFmtId="0" fontId="55" fillId="0" borderId="0" xfId="4" applyNumberFormat="1" applyFont="1" applyFill="1" applyAlignment="1" applyProtection="1">
      <alignment horizontal="left" vertical="center" wrapText="1"/>
    </xf>
    <xf numFmtId="0" fontId="98" fillId="3" borderId="0" xfId="4" applyNumberFormat="1" applyFont="1" applyFill="1" applyAlignment="1" applyProtection="1"/>
    <xf numFmtId="0" fontId="98" fillId="3" borderId="0" xfId="4" applyNumberFormat="1" applyFont="1" applyFill="1" applyAlignment="1" applyProtection="1">
      <alignment horizontal="left" vertical="top"/>
    </xf>
    <xf numFmtId="49" fontId="98" fillId="3" borderId="0" xfId="4" applyNumberFormat="1" applyFont="1" applyFill="1" applyAlignment="1" applyProtection="1">
      <alignment horizontal="left" vertical="center"/>
    </xf>
    <xf numFmtId="0" fontId="98" fillId="3" borderId="0" xfId="4" applyNumberFormat="1" applyFont="1" applyFill="1" applyAlignment="1" applyProtection="1">
      <alignment horizontal="left" vertical="center"/>
    </xf>
    <xf numFmtId="0" fontId="55" fillId="3" borderId="0" xfId="4" applyFont="1" applyFill="1" applyAlignment="1">
      <alignment horizontal="left" wrapText="1"/>
    </xf>
    <xf numFmtId="0" fontId="55" fillId="3" borderId="0" xfId="4" applyNumberFormat="1" applyFont="1" applyFill="1" applyAlignment="1" applyProtection="1"/>
    <xf numFmtId="0" fontId="55" fillId="3" borderId="0" xfId="4" applyFont="1" applyFill="1"/>
    <xf numFmtId="0" fontId="113" fillId="3" borderId="15" xfId="4" applyNumberFormat="1" applyFont="1" applyFill="1" applyBorder="1" applyAlignment="1" applyProtection="1">
      <alignment horizontal="center"/>
    </xf>
    <xf numFmtId="0" fontId="113" fillId="3" borderId="0" xfId="4" applyNumberFormat="1" applyFont="1" applyFill="1" applyBorder="1" applyAlignment="1" applyProtection="1">
      <alignment horizontal="center"/>
    </xf>
    <xf numFmtId="0" fontId="98" fillId="3" borderId="0" xfId="4" applyNumberFormat="1" applyFont="1" applyFill="1" applyAlignment="1" applyProtection="1">
      <alignment horizontal="center" vertical="center"/>
    </xf>
    <xf numFmtId="0" fontId="113" fillId="3" borderId="0" xfId="4" applyNumberFormat="1" applyFont="1" applyFill="1" applyBorder="1" applyAlignment="1" applyProtection="1">
      <alignment horizontal="center" vertical="center"/>
    </xf>
    <xf numFmtId="49" fontId="55" fillId="3" borderId="0" xfId="4" applyNumberFormat="1" applyFont="1" applyFill="1" applyBorder="1" applyAlignment="1">
      <alignment horizontal="center" vertical="center"/>
    </xf>
    <xf numFmtId="0" fontId="55" fillId="3" borderId="0" xfId="4" applyFont="1" applyFill="1" applyBorder="1" applyAlignment="1">
      <alignment horizontal="center" vertical="center"/>
    </xf>
    <xf numFmtId="0" fontId="118" fillId="3" borderId="0" xfId="4" applyNumberFormat="1" applyFont="1" applyFill="1" applyBorder="1" applyAlignment="1" applyProtection="1">
      <alignment horizontal="center" vertical="center"/>
    </xf>
    <xf numFmtId="0" fontId="55" fillId="3" borderId="0" xfId="4" applyFont="1" applyFill="1" applyBorder="1" applyAlignment="1">
      <alignment horizontal="center"/>
    </xf>
    <xf numFmtId="0" fontId="113" fillId="3" borderId="0" xfId="4" applyNumberFormat="1" applyFont="1" applyFill="1" applyBorder="1" applyAlignment="1" applyProtection="1">
      <alignment horizontal="center" vertical="top"/>
    </xf>
    <xf numFmtId="0" fontId="60" fillId="3" borderId="0" xfId="4" applyNumberFormat="1" applyFont="1" applyFill="1" applyBorder="1" applyAlignment="1" applyProtection="1">
      <alignment horizontal="right" vertical="center"/>
    </xf>
    <xf numFmtId="0" fontId="55" fillId="3" borderId="2" xfId="4" applyNumberFormat="1" applyFont="1" applyFill="1" applyBorder="1" applyAlignment="1" applyProtection="1"/>
    <xf numFmtId="0" fontId="68" fillId="3" borderId="2" xfId="4" applyNumberFormat="1" applyFont="1" applyFill="1" applyBorder="1" applyAlignment="1" applyProtection="1">
      <alignment horizontal="center" vertical="center" wrapText="1"/>
    </xf>
    <xf numFmtId="0" fontId="75" fillId="3" borderId="2" xfId="4" applyNumberFormat="1" applyFont="1" applyFill="1" applyBorder="1" applyAlignment="1" applyProtection="1">
      <alignment horizontal="center" vertical="center" wrapText="1"/>
    </xf>
    <xf numFmtId="49" fontId="68" fillId="3" borderId="2" xfId="4" applyNumberFormat="1" applyFont="1" applyFill="1" applyBorder="1" applyAlignment="1" applyProtection="1">
      <alignment horizontal="center" vertical="center" wrapText="1"/>
    </xf>
    <xf numFmtId="0" fontId="60" fillId="3" borderId="2" xfId="4" applyFont="1" applyFill="1" applyBorder="1" applyAlignment="1">
      <alignment horizontal="center" vertical="center" wrapText="1"/>
    </xf>
    <xf numFmtId="0" fontId="95" fillId="3" borderId="2" xfId="4" applyNumberFormat="1" applyFont="1" applyFill="1" applyBorder="1" applyAlignment="1" applyProtection="1"/>
    <xf numFmtId="0" fontId="60" fillId="3" borderId="2" xfId="4" applyNumberFormat="1" applyFont="1" applyFill="1" applyBorder="1" applyAlignment="1" applyProtection="1">
      <alignment horizontal="center" vertical="center" wrapText="1"/>
    </xf>
    <xf numFmtId="0" fontId="95" fillId="3" borderId="2" xfId="4" applyNumberFormat="1" applyFont="1" applyFill="1" applyBorder="1" applyAlignment="1" applyProtection="1">
      <alignment horizontal="center" vertical="center" wrapText="1"/>
    </xf>
    <xf numFmtId="49" fontId="60" fillId="3" borderId="2" xfId="4" applyNumberFormat="1" applyFont="1" applyFill="1" applyBorder="1" applyAlignment="1" applyProtection="1">
      <alignment horizontal="center" vertical="center" wrapText="1"/>
    </xf>
    <xf numFmtId="49" fontId="60" fillId="22" borderId="2" xfId="4" applyNumberFormat="1" applyFont="1" applyFill="1" applyBorder="1" applyAlignment="1">
      <alignment horizontal="center" vertical="center" wrapText="1"/>
    </xf>
    <xf numFmtId="49" fontId="95" fillId="22" borderId="2" xfId="4" applyNumberFormat="1" applyFont="1" applyFill="1" applyBorder="1" applyAlignment="1">
      <alignment horizontal="center" vertical="center" wrapText="1"/>
    </xf>
    <xf numFmtId="0" fontId="60" fillId="22" borderId="2" xfId="4" applyFont="1" applyFill="1" applyBorder="1" applyAlignment="1">
      <alignment horizontal="justify" vertical="center" wrapText="1"/>
    </xf>
    <xf numFmtId="164" fontId="95" fillId="22" borderId="2" xfId="11" applyNumberFormat="1" applyFont="1" applyFill="1" applyBorder="1" applyAlignment="1">
      <alignment vertical="center" wrapText="1"/>
    </xf>
    <xf numFmtId="4" fontId="60" fillId="22" borderId="2" xfId="11" applyNumberFormat="1" applyFont="1" applyFill="1" applyBorder="1" applyAlignment="1">
      <alignment horizontal="center" vertical="center"/>
    </xf>
    <xf numFmtId="49" fontId="60" fillId="3" borderId="2" xfId="4" applyNumberFormat="1" applyFont="1" applyFill="1" applyBorder="1" applyAlignment="1">
      <alignment horizontal="center" vertical="center" wrapText="1"/>
    </xf>
    <xf numFmtId="49" fontId="95" fillId="3" borderId="2" xfId="4" applyNumberFormat="1" applyFont="1" applyFill="1" applyBorder="1" applyAlignment="1">
      <alignment horizontal="center" vertical="center" wrapText="1"/>
    </xf>
    <xf numFmtId="0" fontId="60" fillId="3" borderId="2" xfId="4" applyFont="1" applyFill="1" applyBorder="1" applyAlignment="1">
      <alignment horizontal="justify" vertical="center" wrapText="1"/>
    </xf>
    <xf numFmtId="164" fontId="95" fillId="3" borderId="2" xfId="11" applyNumberFormat="1" applyFont="1" applyFill="1" applyBorder="1" applyAlignment="1">
      <alignment vertical="center" wrapText="1"/>
    </xf>
    <xf numFmtId="4" fontId="60" fillId="3" borderId="2" xfId="11" applyNumberFormat="1" applyFont="1" applyFill="1" applyBorder="1" applyAlignment="1">
      <alignment horizontal="center" vertical="center"/>
    </xf>
    <xf numFmtId="4" fontId="95" fillId="3" borderId="2" xfId="11" applyNumberFormat="1" applyFont="1" applyFill="1" applyBorder="1" applyAlignment="1">
      <alignment horizontal="center" vertical="center"/>
    </xf>
    <xf numFmtId="0" fontId="95" fillId="3" borderId="2" xfId="4" applyFont="1" applyFill="1" applyBorder="1" applyAlignment="1">
      <alignment horizontal="left" vertical="center" wrapText="1"/>
    </xf>
    <xf numFmtId="0" fontId="95" fillId="3" borderId="2" xfId="5" applyFont="1" applyFill="1" applyBorder="1" applyAlignment="1" applyProtection="1">
      <alignment horizontal="left" vertical="center" wrapText="1"/>
    </xf>
    <xf numFmtId="0" fontId="95" fillId="3" borderId="2" xfId="5" applyFont="1" applyFill="1" applyBorder="1" applyAlignment="1" applyProtection="1">
      <alignment horizontal="center" vertical="center" wrapText="1"/>
    </xf>
    <xf numFmtId="0" fontId="95" fillId="3" borderId="2" xfId="5" applyFont="1" applyFill="1" applyBorder="1" applyAlignment="1" applyProtection="1">
      <alignment vertical="center" wrapText="1"/>
    </xf>
    <xf numFmtId="0" fontId="145" fillId="3" borderId="2" xfId="5" applyFont="1" applyFill="1" applyBorder="1" applyAlignment="1" applyProtection="1">
      <alignment vertical="center" wrapText="1"/>
    </xf>
    <xf numFmtId="4" fontId="95" fillId="3" borderId="2" xfId="11" applyNumberFormat="1" applyFont="1" applyFill="1" applyBorder="1" applyAlignment="1">
      <alignment horizontal="center" vertical="center" wrapText="1"/>
    </xf>
    <xf numFmtId="0" fontId="95" fillId="3" borderId="2" xfId="4" applyFont="1" applyFill="1" applyBorder="1" applyAlignment="1">
      <alignment horizontal="center" vertical="center" wrapText="1"/>
    </xf>
    <xf numFmtId="49" fontId="95" fillId="3" borderId="2" xfId="4" applyNumberFormat="1" applyFont="1" applyFill="1" applyBorder="1" applyAlignment="1">
      <alignment horizontal="left" vertical="center" wrapText="1"/>
    </xf>
    <xf numFmtId="0" fontId="95" fillId="3" borderId="2" xfId="13" applyFont="1" applyFill="1" applyBorder="1" applyAlignment="1">
      <alignment vertical="center" wrapText="1"/>
    </xf>
    <xf numFmtId="164" fontId="95" fillId="3" borderId="2" xfId="11" applyNumberFormat="1" applyFont="1" applyFill="1" applyBorder="1" applyAlignment="1">
      <alignment horizontal="center" vertical="center" wrapText="1"/>
    </xf>
    <xf numFmtId="4" fontId="95" fillId="3" borderId="2" xfId="4" applyNumberFormat="1" applyFont="1" applyFill="1" applyBorder="1" applyAlignment="1">
      <alignment horizontal="center" vertical="center" wrapText="1"/>
    </xf>
    <xf numFmtId="0" fontId="55" fillId="3" borderId="2" xfId="4" applyFont="1" applyFill="1" applyBorder="1" applyAlignment="1">
      <alignment horizontal="center" vertical="center" wrapText="1"/>
    </xf>
    <xf numFmtId="49" fontId="95" fillId="3" borderId="2" xfId="4" applyNumberFormat="1" applyFont="1" applyFill="1" applyBorder="1" applyAlignment="1">
      <alignment horizontal="justify" vertical="center" wrapText="1"/>
    </xf>
    <xf numFmtId="0" fontId="95" fillId="3" borderId="2" xfId="4" applyFont="1" applyFill="1" applyBorder="1" applyAlignment="1">
      <alignment vertical="center" wrapText="1"/>
    </xf>
    <xf numFmtId="0" fontId="95" fillId="3" borderId="1" xfId="4" applyFont="1" applyFill="1" applyBorder="1" applyAlignment="1">
      <alignment horizontal="left" vertical="center" wrapText="1"/>
    </xf>
    <xf numFmtId="0" fontId="95" fillId="3" borderId="1" xfId="4" applyFont="1" applyFill="1" applyBorder="1" applyAlignment="1">
      <alignment horizontal="center" vertical="center" wrapText="1"/>
    </xf>
    <xf numFmtId="4" fontId="55" fillId="3" borderId="0" xfId="4" applyNumberFormat="1" applyFont="1" applyFill="1" applyAlignment="1">
      <alignment horizontal="center"/>
    </xf>
    <xf numFmtId="4" fontId="55" fillId="3" borderId="2" xfId="4" applyNumberFormat="1" applyFont="1" applyFill="1" applyBorder="1" applyAlignment="1">
      <alignment horizontal="center"/>
    </xf>
    <xf numFmtId="4" fontId="95" fillId="3" borderId="2" xfId="4" applyNumberFormat="1" applyFont="1" applyFill="1" applyBorder="1" applyAlignment="1">
      <alignment horizontal="center" vertical="center"/>
    </xf>
    <xf numFmtId="0" fontId="98" fillId="3" borderId="2" xfId="4" applyFont="1" applyFill="1" applyBorder="1" applyAlignment="1">
      <alignment vertical="center" wrapText="1"/>
    </xf>
    <xf numFmtId="164" fontId="95" fillId="3" borderId="2" xfId="4" applyNumberFormat="1" applyFont="1" applyFill="1" applyBorder="1" applyAlignment="1">
      <alignment horizontal="center" vertical="center" wrapText="1"/>
    </xf>
    <xf numFmtId="4" fontId="55" fillId="3" borderId="0" xfId="4" applyNumberFormat="1" applyFont="1" applyFill="1"/>
    <xf numFmtId="0" fontId="55" fillId="3" borderId="2" xfId="4" applyFont="1" applyFill="1" applyBorder="1" applyAlignment="1">
      <alignment vertical="center"/>
    </xf>
    <xf numFmtId="164" fontId="95" fillId="3" borderId="2" xfId="11" applyNumberFormat="1" applyFont="1" applyFill="1" applyBorder="1" applyAlignment="1">
      <alignment horizontal="left" vertical="center" wrapText="1"/>
    </xf>
    <xf numFmtId="49" fontId="95" fillId="3" borderId="2" xfId="4" applyNumberFormat="1" applyFont="1" applyFill="1" applyBorder="1" applyAlignment="1">
      <alignment vertical="center" wrapText="1"/>
    </xf>
    <xf numFmtId="49" fontId="60" fillId="3" borderId="3" xfId="4" applyNumberFormat="1" applyFont="1" applyFill="1" applyBorder="1" applyAlignment="1">
      <alignment horizontal="center" vertical="center" wrapText="1"/>
    </xf>
    <xf numFmtId="0" fontId="95" fillId="3" borderId="3" xfId="4" applyFont="1" applyFill="1" applyBorder="1" applyAlignment="1">
      <alignment horizontal="center" vertical="center" wrapText="1"/>
    </xf>
    <xf numFmtId="49" fontId="95" fillId="3" borderId="3" xfId="4" applyNumberFormat="1" applyFont="1" applyFill="1" applyBorder="1" applyAlignment="1">
      <alignment horizontal="center" vertical="center" wrapText="1"/>
    </xf>
    <xf numFmtId="49" fontId="95" fillId="3" borderId="3" xfId="4" applyNumberFormat="1" applyFont="1" applyFill="1" applyBorder="1" applyAlignment="1">
      <alignment horizontal="left" vertical="center" wrapText="1"/>
    </xf>
    <xf numFmtId="164" fontId="95" fillId="3" borderId="2" xfId="4" applyNumberFormat="1" applyFont="1" applyFill="1" applyBorder="1" applyAlignment="1" applyProtection="1">
      <alignment vertical="center" wrapText="1"/>
    </xf>
    <xf numFmtId="164" fontId="95" fillId="3" borderId="2" xfId="4" applyNumberFormat="1" applyFont="1" applyFill="1" applyBorder="1" applyAlignment="1" applyProtection="1">
      <alignment horizontal="center" vertical="center" wrapText="1"/>
    </xf>
    <xf numFmtId="164" fontId="95" fillId="3" borderId="2" xfId="4" applyNumberFormat="1" applyFont="1" applyFill="1" applyBorder="1" applyAlignment="1">
      <alignment vertical="center" wrapText="1"/>
    </xf>
    <xf numFmtId="164" fontId="95" fillId="3" borderId="2" xfId="4" applyNumberFormat="1" applyFont="1" applyFill="1" applyBorder="1" applyAlignment="1" applyProtection="1">
      <alignment horizontal="left" vertical="center" wrapText="1"/>
    </xf>
    <xf numFmtId="164" fontId="95" fillId="22" borderId="2" xfId="4" applyNumberFormat="1" applyFont="1" applyFill="1" applyBorder="1" applyAlignment="1" applyProtection="1">
      <alignment vertical="center" wrapText="1"/>
    </xf>
    <xf numFmtId="4" fontId="60" fillId="22" borderId="2" xfId="4" applyNumberFormat="1" applyFont="1" applyFill="1" applyBorder="1" applyAlignment="1" applyProtection="1">
      <alignment horizontal="center" vertical="center"/>
    </xf>
    <xf numFmtId="4" fontId="60" fillId="3" borderId="2" xfId="4" applyNumberFormat="1" applyFont="1" applyFill="1" applyBorder="1" applyAlignment="1" applyProtection="1">
      <alignment horizontal="center" vertical="center"/>
    </xf>
    <xf numFmtId="4" fontId="95" fillId="3" borderId="2" xfId="4" applyNumberFormat="1" applyFont="1" applyFill="1" applyBorder="1" applyAlignment="1" applyProtection="1">
      <alignment horizontal="center" vertical="center"/>
    </xf>
    <xf numFmtId="4" fontId="95" fillId="0" borderId="2" xfId="11" applyNumberFormat="1" applyFont="1" applyBorder="1" applyAlignment="1">
      <alignment horizontal="center" vertical="center"/>
    </xf>
    <xf numFmtId="164" fontId="95" fillId="3" borderId="0" xfId="4" applyNumberFormat="1" applyFont="1" applyFill="1" applyBorder="1" applyAlignment="1" applyProtection="1">
      <alignment horizontal="center" vertical="center"/>
    </xf>
    <xf numFmtId="0" fontId="95" fillId="3" borderId="2" xfId="4" applyFont="1" applyFill="1" applyBorder="1" applyAlignment="1">
      <alignment horizontal="justify" vertical="center" wrapText="1"/>
    </xf>
    <xf numFmtId="0" fontId="55" fillId="3" borderId="0" xfId="4" applyFont="1" applyFill="1" applyBorder="1"/>
    <xf numFmtId="164" fontId="95" fillId="22" borderId="2" xfId="4" applyNumberFormat="1" applyFont="1" applyFill="1" applyBorder="1" applyAlignment="1">
      <alignment vertical="center" wrapText="1"/>
    </xf>
    <xf numFmtId="4" fontId="60" fillId="22" borderId="2" xfId="4" applyNumberFormat="1" applyFont="1" applyFill="1" applyBorder="1" applyAlignment="1">
      <alignment horizontal="center" vertical="center"/>
    </xf>
    <xf numFmtId="4" fontId="60" fillId="3" borderId="2" xfId="4" applyNumberFormat="1" applyFont="1" applyFill="1" applyBorder="1" applyAlignment="1">
      <alignment horizontal="center" vertical="center"/>
    </xf>
    <xf numFmtId="4" fontId="60" fillId="3" borderId="2" xfId="4" applyNumberFormat="1" applyFont="1" applyFill="1" applyBorder="1" applyAlignment="1">
      <alignment horizontal="center" vertical="center" wrapText="1"/>
    </xf>
    <xf numFmtId="164" fontId="95" fillId="3" borderId="2" xfId="4" applyNumberFormat="1" applyFont="1" applyFill="1" applyBorder="1" applyAlignment="1">
      <alignment horizontal="left" vertical="center" wrapText="1"/>
    </xf>
    <xf numFmtId="0" fontId="145" fillId="3" borderId="2" xfId="4" applyFont="1" applyFill="1" applyBorder="1" applyAlignment="1">
      <alignment vertical="center" wrapText="1"/>
    </xf>
    <xf numFmtId="0" fontId="60" fillId="22" borderId="2" xfId="4" applyFont="1" applyFill="1" applyBorder="1" applyAlignment="1">
      <alignment horizontal="left" vertical="center" wrapText="1"/>
    </xf>
    <xf numFmtId="0" fontId="60" fillId="3" borderId="2" xfId="4" applyFont="1" applyFill="1" applyBorder="1" applyAlignment="1">
      <alignment horizontal="left" vertical="center" wrapText="1"/>
    </xf>
    <xf numFmtId="4" fontId="60" fillId="0" borderId="2" xfId="4" applyNumberFormat="1" applyFont="1" applyFill="1" applyBorder="1" applyAlignment="1">
      <alignment horizontal="center" vertical="center"/>
    </xf>
    <xf numFmtId="4" fontId="95" fillId="0" borderId="2" xfId="4" applyNumberFormat="1" applyFont="1" applyFill="1" applyBorder="1" applyAlignment="1">
      <alignment horizontal="center" vertical="center"/>
    </xf>
    <xf numFmtId="4" fontId="95" fillId="3" borderId="2" xfId="4" applyNumberFormat="1" applyFont="1" applyFill="1" applyBorder="1" applyAlignment="1">
      <alignment horizontal="left" vertical="center" wrapText="1"/>
    </xf>
    <xf numFmtId="2" fontId="95" fillId="3" borderId="2" xfId="4" applyNumberFormat="1" applyFont="1" applyFill="1" applyBorder="1" applyAlignment="1">
      <alignment horizontal="left" vertical="center" wrapText="1"/>
    </xf>
    <xf numFmtId="49" fontId="60" fillId="3" borderId="1" xfId="4" applyNumberFormat="1" applyFont="1" applyFill="1" applyBorder="1" applyAlignment="1">
      <alignment horizontal="center" vertical="center" wrapText="1"/>
    </xf>
    <xf numFmtId="49" fontId="95" fillId="3" borderId="1" xfId="4" applyNumberFormat="1" applyFont="1" applyFill="1" applyBorder="1" applyAlignment="1">
      <alignment horizontal="center" vertical="center" wrapText="1"/>
    </xf>
    <xf numFmtId="49" fontId="95" fillId="3" borderId="1" xfId="4" applyNumberFormat="1" applyFont="1" applyFill="1" applyBorder="1" applyAlignment="1">
      <alignment horizontal="left" vertical="center" wrapText="1"/>
    </xf>
    <xf numFmtId="164" fontId="95" fillId="3" borderId="2" xfId="4" applyNumberFormat="1" applyFont="1" applyFill="1" applyBorder="1" applyAlignment="1">
      <alignment vertical="top" wrapText="1"/>
    </xf>
    <xf numFmtId="164" fontId="95" fillId="3" borderId="2" xfId="4" applyNumberFormat="1" applyFont="1" applyFill="1" applyBorder="1" applyAlignment="1">
      <alignment horizontal="center" vertical="top" wrapText="1"/>
    </xf>
    <xf numFmtId="0" fontId="55" fillId="3" borderId="2" xfId="4" applyNumberFormat="1" applyFont="1" applyFill="1" applyBorder="1" applyAlignment="1" applyProtection="1">
      <alignment horizontal="center"/>
    </xf>
    <xf numFmtId="0" fontId="55" fillId="3" borderId="2" xfId="4" applyNumberFormat="1" applyFont="1" applyFill="1" applyBorder="1" applyAlignment="1" applyProtection="1">
      <alignment vertical="center"/>
    </xf>
    <xf numFmtId="164" fontId="60" fillId="22" borderId="2" xfId="11" applyNumberFormat="1" applyFont="1" applyFill="1" applyBorder="1" applyAlignment="1">
      <alignment vertical="center"/>
    </xf>
    <xf numFmtId="0" fontId="55" fillId="3" borderId="0" xfId="4" applyFont="1" applyFill="1" applyAlignment="1">
      <alignment vertical="center"/>
    </xf>
    <xf numFmtId="164" fontId="60" fillId="3" borderId="2" xfId="11" applyNumberFormat="1" applyFont="1" applyFill="1" applyBorder="1" applyAlignment="1">
      <alignment vertical="center"/>
    </xf>
    <xf numFmtId="0" fontId="98" fillId="3" borderId="2" xfId="4" applyFont="1" applyFill="1" applyBorder="1" applyAlignment="1">
      <alignment vertical="center"/>
    </xf>
    <xf numFmtId="164" fontId="95" fillId="0" borderId="2" xfId="4" applyNumberFormat="1" applyFont="1" applyFill="1" applyBorder="1" applyAlignment="1">
      <alignment vertical="center" wrapText="1"/>
    </xf>
    <xf numFmtId="0" fontId="95" fillId="3" borderId="3" xfId="4" applyFont="1" applyFill="1" applyBorder="1" applyAlignment="1">
      <alignment horizontal="left" vertical="center" wrapText="1"/>
    </xf>
    <xf numFmtId="49" fontId="95" fillId="3" borderId="1" xfId="4" applyNumberFormat="1" applyFont="1" applyFill="1" applyBorder="1" applyAlignment="1">
      <alignment vertical="center" wrapText="1"/>
    </xf>
    <xf numFmtId="164" fontId="145" fillId="3" borderId="2" xfId="11" applyNumberFormat="1" applyFont="1" applyFill="1" applyBorder="1" applyAlignment="1">
      <alignment vertical="center" wrapText="1"/>
    </xf>
    <xf numFmtId="4" fontId="95" fillId="0" borderId="2" xfId="11" applyNumberFormat="1" applyFont="1" applyFill="1" applyBorder="1" applyAlignment="1">
      <alignment horizontal="center" vertical="center"/>
    </xf>
    <xf numFmtId="4" fontId="95" fillId="3" borderId="1" xfId="4" applyNumberFormat="1" applyFont="1" applyFill="1" applyBorder="1" applyAlignment="1">
      <alignment horizontal="center" vertical="center"/>
    </xf>
    <xf numFmtId="0" fontId="95" fillId="3" borderId="1" xfId="4" applyFont="1" applyFill="1" applyBorder="1" applyAlignment="1">
      <alignment vertical="center" wrapText="1"/>
    </xf>
    <xf numFmtId="4" fontId="60" fillId="3" borderId="1" xfId="4" applyNumberFormat="1" applyFont="1" applyFill="1" applyBorder="1" applyAlignment="1">
      <alignment horizontal="center" vertical="center"/>
    </xf>
    <xf numFmtId="0" fontId="98" fillId="3" borderId="2" xfId="4" applyNumberFormat="1" applyFont="1" applyFill="1" applyBorder="1" applyAlignment="1" applyProtection="1">
      <alignment horizontal="center"/>
    </xf>
    <xf numFmtId="0" fontId="98" fillId="3" borderId="2" xfId="4" applyFont="1" applyFill="1" applyBorder="1" applyAlignment="1">
      <alignment horizontal="center" vertical="center" wrapText="1"/>
    </xf>
    <xf numFmtId="0" fontId="39" fillId="3" borderId="2" xfId="4" applyFont="1" applyFill="1" applyBorder="1" applyAlignment="1">
      <alignment horizontal="center" vertical="center" wrapText="1"/>
    </xf>
    <xf numFmtId="0" fontId="39" fillId="22" borderId="2" xfId="4" applyFont="1" applyFill="1" applyBorder="1" applyAlignment="1">
      <alignment horizontal="center" vertical="center" wrapText="1"/>
    </xf>
    <xf numFmtId="4" fontId="39" fillId="22" borderId="2" xfId="4" applyNumberFormat="1" applyFont="1" applyFill="1" applyBorder="1" applyAlignment="1">
      <alignment horizontal="center" vertical="center"/>
    </xf>
    <xf numFmtId="49" fontId="55" fillId="3" borderId="0" xfId="4" applyNumberFormat="1" applyFont="1" applyFill="1" applyAlignment="1" applyProtection="1">
      <alignment vertical="center"/>
    </xf>
    <xf numFmtId="0" fontId="55" fillId="3" borderId="0" xfId="4" applyNumberFormat="1" applyFont="1" applyFill="1" applyAlignment="1" applyProtection="1">
      <alignment vertical="center"/>
    </xf>
    <xf numFmtId="4" fontId="68" fillId="3" borderId="0" xfId="4" applyNumberFormat="1" applyFont="1" applyFill="1" applyAlignment="1" applyProtection="1">
      <alignment horizontal="center"/>
    </xf>
    <xf numFmtId="0" fontId="55" fillId="3" borderId="0" xfId="4" applyNumberFormat="1" applyFont="1" applyFill="1" applyAlignment="1" applyProtection="1">
      <alignment horizontal="center"/>
    </xf>
    <xf numFmtId="2" fontId="146" fillId="3" borderId="0" xfId="4" applyNumberFormat="1" applyFont="1" applyFill="1" applyBorder="1" applyAlignment="1">
      <alignment horizontal="right"/>
    </xf>
    <xf numFmtId="2" fontId="113" fillId="3" borderId="0" xfId="4" applyNumberFormat="1" applyFont="1" applyFill="1" applyBorder="1"/>
    <xf numFmtId="0" fontId="113" fillId="3" borderId="0" xfId="4" applyFont="1" applyFill="1"/>
    <xf numFmtId="2" fontId="113" fillId="3" borderId="0" xfId="4" applyNumberFormat="1" applyFont="1" applyFill="1"/>
    <xf numFmtId="0" fontId="68" fillId="3" borderId="0" xfId="4" applyNumberFormat="1" applyFont="1" applyFill="1" applyAlignment="1" applyProtection="1">
      <alignment horizontal="center"/>
    </xf>
    <xf numFmtId="0" fontId="113" fillId="3" borderId="0" xfId="4" applyNumberFormat="1" applyFont="1" applyFill="1" applyAlignment="1" applyProtection="1"/>
    <xf numFmtId="49" fontId="113" fillId="3" borderId="0" xfId="4" applyNumberFormat="1" applyFont="1" applyFill="1" applyAlignment="1">
      <alignment vertical="center"/>
    </xf>
    <xf numFmtId="49" fontId="113" fillId="3" borderId="0" xfId="4" applyNumberFormat="1" applyFont="1" applyFill="1" applyAlignment="1" applyProtection="1">
      <alignment vertical="center"/>
    </xf>
    <xf numFmtId="0" fontId="113" fillId="3" borderId="0" xfId="4" applyNumberFormat="1" applyFont="1" applyFill="1" applyAlignment="1" applyProtection="1">
      <alignment vertical="center"/>
    </xf>
    <xf numFmtId="0" fontId="113" fillId="3" borderId="0" xfId="4" applyNumberFormat="1" applyFont="1" applyFill="1" applyAlignment="1" applyProtection="1">
      <alignment horizontal="center"/>
    </xf>
    <xf numFmtId="0" fontId="147" fillId="0" borderId="0" xfId="4" applyFont="1" applyFill="1" applyBorder="1"/>
    <xf numFmtId="0" fontId="147" fillId="0" borderId="0" xfId="4" applyFont="1" applyFill="1" applyBorder="1" applyAlignment="1">
      <alignment horizontal="left" vertical="top"/>
    </xf>
    <xf numFmtId="0" fontId="95" fillId="3" borderId="0" xfId="4" applyNumberFormat="1" applyFont="1" applyFill="1" applyAlignment="1" applyProtection="1">
      <alignment vertical="center" wrapText="1"/>
    </xf>
    <xf numFmtId="165" fontId="147" fillId="0" borderId="0" xfId="4" applyNumberFormat="1" applyFont="1" applyFill="1" applyBorder="1" applyAlignment="1">
      <alignment horizontal="center" vertical="center"/>
    </xf>
    <xf numFmtId="1" fontId="149" fillId="0" borderId="0" xfId="4" applyNumberFormat="1" applyFont="1" applyFill="1" applyAlignment="1" applyProtection="1">
      <alignment horizontal="center" vertical="center"/>
    </xf>
    <xf numFmtId="0" fontId="96" fillId="0" borderId="0" xfId="4" applyNumberFormat="1" applyFont="1" applyFill="1" applyAlignment="1" applyProtection="1">
      <alignment horizontal="center" vertical="center"/>
    </xf>
    <xf numFmtId="0" fontId="55" fillId="0" borderId="0" xfId="4" applyNumberFormat="1" applyFont="1" applyFill="1" applyAlignment="1" applyProtection="1">
      <alignment horizontal="center" vertical="top"/>
    </xf>
    <xf numFmtId="49" fontId="141" fillId="3" borderId="2" xfId="4" applyNumberFormat="1" applyFont="1" applyFill="1" applyBorder="1" applyAlignment="1">
      <alignment horizontal="center" vertical="center" wrapText="1"/>
    </xf>
    <xf numFmtId="168" fontId="151" fillId="3" borderId="2" xfId="4" applyNumberFormat="1" applyFont="1" applyFill="1" applyBorder="1" applyAlignment="1">
      <alignment horizontal="left" vertical="center" wrapText="1" shrinkToFit="1"/>
    </xf>
    <xf numFmtId="168" fontId="150" fillId="3" borderId="2" xfId="4" applyNumberFormat="1" applyFont="1" applyFill="1" applyBorder="1" applyAlignment="1">
      <alignment horizontal="left" vertical="center" wrapText="1" shrinkToFit="1"/>
    </xf>
    <xf numFmtId="0" fontId="147" fillId="3" borderId="0" xfId="4" applyFont="1" applyFill="1" applyBorder="1"/>
    <xf numFmtId="0" fontId="69" fillId="3" borderId="0" xfId="4" applyFill="1"/>
    <xf numFmtId="49" fontId="150" fillId="3" borderId="2" xfId="4" applyNumberFormat="1" applyFont="1" applyFill="1" applyBorder="1" applyAlignment="1">
      <alignment horizontal="center" vertical="center" shrinkToFit="1"/>
    </xf>
    <xf numFmtId="49" fontId="150" fillId="3" borderId="2" xfId="4" applyNumberFormat="1" applyFont="1" applyFill="1" applyBorder="1" applyAlignment="1">
      <alignment horizontal="justify" vertical="center" wrapText="1"/>
    </xf>
    <xf numFmtId="0" fontId="154" fillId="3" borderId="2" xfId="4" applyFont="1" applyFill="1" applyBorder="1" applyAlignment="1">
      <alignment wrapText="1"/>
    </xf>
    <xf numFmtId="168" fontId="155" fillId="3" borderId="2" xfId="4" applyNumberFormat="1" applyFont="1" applyFill="1" applyBorder="1" applyAlignment="1">
      <alignment horizontal="left" vertical="center" wrapText="1" shrinkToFit="1"/>
    </xf>
    <xf numFmtId="0" fontId="157" fillId="3" borderId="0" xfId="4" applyFont="1" applyFill="1" applyBorder="1"/>
    <xf numFmtId="0" fontId="144" fillId="3" borderId="0" xfId="4" applyFont="1" applyFill="1"/>
    <xf numFmtId="49" fontId="150" fillId="3" borderId="2" xfId="4" applyNumberFormat="1" applyFont="1" applyFill="1" applyBorder="1" applyAlignment="1">
      <alignment horizontal="center" vertical="center" wrapText="1" shrinkToFit="1"/>
    </xf>
    <xf numFmtId="0" fontId="150" fillId="3" borderId="2" xfId="4" applyNumberFormat="1" applyFont="1" applyFill="1" applyBorder="1" applyAlignment="1">
      <alignment horizontal="left" vertical="center" wrapText="1"/>
    </xf>
    <xf numFmtId="0" fontId="150" fillId="3" borderId="2" xfId="4" applyNumberFormat="1" applyFont="1" applyFill="1" applyBorder="1" applyAlignment="1">
      <alignment horizontal="center" vertical="center" wrapText="1"/>
    </xf>
    <xf numFmtId="49" fontId="150" fillId="3" borderId="2" xfId="4" applyNumberFormat="1" applyFont="1" applyFill="1" applyBorder="1" applyAlignment="1">
      <alignment horizontal="left" vertical="center" wrapText="1"/>
    </xf>
    <xf numFmtId="49" fontId="150" fillId="3" borderId="2" xfId="4" applyNumberFormat="1" applyFont="1" applyFill="1" applyBorder="1" applyAlignment="1">
      <alignment horizontal="left" vertical="center" wrapText="1" indent="1"/>
    </xf>
    <xf numFmtId="49" fontId="159" fillId="3" borderId="2" xfId="4" applyNumberFormat="1" applyFont="1" applyFill="1" applyBorder="1" applyAlignment="1">
      <alignment horizontal="left" vertical="center" wrapText="1" indent="1"/>
    </xf>
    <xf numFmtId="2" fontId="159" fillId="3" borderId="2" xfId="4" applyNumberFormat="1" applyFont="1" applyFill="1" applyBorder="1" applyAlignment="1" applyProtection="1">
      <alignment horizontal="left" vertical="center" wrapText="1" indent="1"/>
      <protection locked="0"/>
    </xf>
    <xf numFmtId="0" fontId="14" fillId="0" borderId="0" xfId="4" applyFont="1"/>
    <xf numFmtId="0" fontId="116" fillId="0" borderId="0" xfId="4" applyFont="1" applyAlignment="1">
      <alignment horizontal="justify" vertical="center"/>
    </xf>
    <xf numFmtId="0" fontId="150" fillId="3" borderId="0" xfId="4" applyNumberFormat="1" applyFont="1" applyFill="1" applyBorder="1" applyAlignment="1">
      <alignment horizontal="left" vertical="center" wrapText="1"/>
    </xf>
    <xf numFmtId="168" fontId="150" fillId="3" borderId="0" xfId="4" applyNumberFormat="1" applyFont="1" applyFill="1" applyBorder="1" applyAlignment="1">
      <alignment horizontal="left" vertical="center" wrapText="1" shrinkToFit="1"/>
    </xf>
    <xf numFmtId="0" fontId="51" fillId="0" borderId="0" xfId="4" applyNumberFormat="1" applyFont="1" applyFill="1" applyAlignment="1" applyProtection="1">
      <alignment horizontal="right"/>
    </xf>
    <xf numFmtId="0" fontId="14" fillId="0" borderId="0" xfId="4" applyFont="1" applyAlignment="1">
      <alignment horizontal="center"/>
    </xf>
    <xf numFmtId="49" fontId="147" fillId="0" borderId="0" xfId="4" applyNumberFormat="1" applyFont="1" applyFill="1" applyBorder="1" applyAlignment="1">
      <alignment wrapText="1"/>
    </xf>
    <xf numFmtId="49" fontId="147" fillId="0" borderId="0" xfId="4" applyNumberFormat="1" applyFont="1" applyFill="1" applyBorder="1" applyAlignment="1">
      <alignment horizontal="left" vertical="top" wrapText="1"/>
    </xf>
    <xf numFmtId="165" fontId="147" fillId="0" borderId="0" xfId="4" applyNumberFormat="1" applyFont="1" applyFill="1" applyBorder="1" applyAlignment="1">
      <alignment horizontal="center" vertical="center" wrapText="1"/>
    </xf>
    <xf numFmtId="0" fontId="105" fillId="0" borderId="0" xfId="14" applyFont="1"/>
    <xf numFmtId="0" fontId="96" fillId="0" borderId="0" xfId="16" applyNumberFormat="1" applyFont="1" applyFill="1" applyAlignment="1" applyProtection="1">
      <alignment horizontal="center" vertical="center"/>
    </xf>
    <xf numFmtId="0" fontId="55" fillId="0" borderId="0" xfId="16" applyFont="1" applyFill="1"/>
    <xf numFmtId="0" fontId="95" fillId="0" borderId="0" xfId="16" applyNumberFormat="1" applyFont="1" applyFill="1" applyAlignment="1" applyProtection="1">
      <alignment horizontal="right" vertical="center"/>
    </xf>
    <xf numFmtId="0" fontId="55" fillId="0" borderId="0" xfId="16" applyFont="1" applyFill="1" applyAlignment="1">
      <alignment horizontal="left"/>
    </xf>
    <xf numFmtId="0" fontId="162" fillId="0" borderId="3" xfId="16" applyFont="1" applyBorder="1" applyAlignment="1">
      <alignment horizontal="center" vertical="center" wrapText="1"/>
    </xf>
    <xf numFmtId="0" fontId="104" fillId="0" borderId="3" xfId="14" applyFont="1" applyBorder="1" applyAlignment="1">
      <alignment horizontal="center" vertical="center" wrapText="1" readingOrder="1"/>
    </xf>
    <xf numFmtId="0" fontId="104" fillId="0" borderId="2" xfId="14" applyFont="1" applyBorder="1" applyAlignment="1">
      <alignment horizontal="center" vertical="center" wrapText="1"/>
    </xf>
    <xf numFmtId="0" fontId="164" fillId="0" borderId="3" xfId="16" applyFont="1" applyBorder="1" applyAlignment="1">
      <alignment horizontal="center" vertical="center" wrapText="1" readingOrder="1"/>
    </xf>
    <xf numFmtId="0" fontId="163" fillId="3" borderId="2" xfId="16" applyFont="1" applyFill="1" applyBorder="1" applyAlignment="1">
      <alignment horizontal="left" vertical="center" wrapText="1" readingOrder="1"/>
    </xf>
    <xf numFmtId="4" fontId="163" fillId="3" borderId="3" xfId="16" applyNumberFormat="1" applyFont="1" applyFill="1" applyBorder="1" applyAlignment="1">
      <alignment horizontal="center" vertical="center" wrapText="1" readingOrder="1"/>
    </xf>
    <xf numFmtId="4" fontId="163" fillId="0" borderId="3" xfId="16" applyNumberFormat="1" applyFont="1" applyBorder="1" applyAlignment="1">
      <alignment horizontal="center" vertical="center" wrapText="1" readingOrder="1"/>
    </xf>
    <xf numFmtId="4" fontId="95" fillId="0" borderId="3" xfId="16" applyNumberFormat="1" applyFont="1" applyBorder="1" applyAlignment="1">
      <alignment horizontal="center" vertical="center" wrapText="1" readingOrder="1"/>
    </xf>
    <xf numFmtId="4" fontId="105" fillId="0" borderId="2" xfId="14" applyNumberFormat="1" applyFont="1" applyBorder="1" applyAlignment="1">
      <alignment horizontal="center" vertical="center"/>
    </xf>
    <xf numFmtId="0" fontId="105" fillId="3" borderId="2" xfId="14" applyFont="1" applyFill="1" applyBorder="1" applyAlignment="1">
      <alignment horizontal="left" vertical="center" wrapText="1" readingOrder="1"/>
    </xf>
    <xf numFmtId="4" fontId="95" fillId="0" borderId="2" xfId="14" applyNumberFormat="1" applyFont="1" applyBorder="1" applyAlignment="1">
      <alignment horizontal="center" vertical="center"/>
    </xf>
    <xf numFmtId="4" fontId="105" fillId="0" borderId="3" xfId="14" applyNumberFormat="1" applyFont="1" applyBorder="1" applyAlignment="1">
      <alignment horizontal="center" vertical="center"/>
    </xf>
    <xf numFmtId="4" fontId="165" fillId="0" borderId="2" xfId="16" applyNumberFormat="1" applyFont="1" applyBorder="1" applyAlignment="1">
      <alignment horizontal="center" vertical="center" wrapText="1"/>
    </xf>
    <xf numFmtId="4" fontId="105" fillId="0" borderId="0" xfId="14" applyNumberFormat="1" applyFont="1"/>
    <xf numFmtId="0" fontId="39" fillId="0" borderId="0" xfId="16" applyFont="1" applyFill="1" applyAlignment="1">
      <alignment horizontal="left" vertical="center"/>
    </xf>
    <xf numFmtId="0" fontId="98" fillId="0" borderId="0" xfId="16" applyFont="1" applyFill="1"/>
    <xf numFmtId="0" fontId="39" fillId="0" borderId="0" xfId="16" applyFont="1" applyFill="1" applyAlignment="1">
      <alignment horizontal="right"/>
    </xf>
    <xf numFmtId="0" fontId="166" fillId="0" borderId="2" xfId="14" applyFont="1" applyBorder="1" applyAlignment="1">
      <alignment horizontal="center" vertical="center"/>
    </xf>
    <xf numFmtId="0" fontId="104" fillId="0" borderId="2" xfId="14" applyFont="1" applyBorder="1" applyAlignment="1">
      <alignment horizontal="center" vertical="center"/>
    </xf>
    <xf numFmtId="0" fontId="167" fillId="0" borderId="2" xfId="16" applyFont="1" applyFill="1" applyBorder="1" applyAlignment="1">
      <alignment horizontal="right" wrapText="1"/>
    </xf>
    <xf numFmtId="0" fontId="113" fillId="0" borderId="0" xfId="4" applyFont="1" applyFill="1" applyBorder="1" applyAlignment="1">
      <alignment horizontal="center" vertical="center" wrapText="1"/>
    </xf>
    <xf numFmtId="0" fontId="55" fillId="0" borderId="0" xfId="4" applyFont="1" applyFill="1" applyAlignment="1">
      <alignment horizontal="right"/>
    </xf>
    <xf numFmtId="0" fontId="98" fillId="0" borderId="0" xfId="4" applyNumberFormat="1" applyFont="1" applyFill="1" applyAlignment="1" applyProtection="1">
      <alignment horizontal="right" vertical="center"/>
    </xf>
    <xf numFmtId="0" fontId="65" fillId="0" borderId="2" xfId="4" applyFont="1" applyFill="1" applyBorder="1" applyAlignment="1">
      <alignment horizontal="center" vertical="center" wrapText="1" readingOrder="1"/>
    </xf>
    <xf numFmtId="0" fontId="68" fillId="0" borderId="2" xfId="4" applyFont="1" applyBorder="1" applyAlignment="1">
      <alignment horizontal="center" vertical="center" wrapText="1" readingOrder="1"/>
    </xf>
    <xf numFmtId="0" fontId="39" fillId="0" borderId="2" xfId="4" applyFont="1" applyBorder="1" applyAlignment="1">
      <alignment horizontal="center" vertical="center"/>
    </xf>
    <xf numFmtId="0" fontId="39" fillId="0" borderId="2" xfId="4" applyFont="1" applyBorder="1" applyAlignment="1">
      <alignment vertical="center" wrapText="1"/>
    </xf>
    <xf numFmtId="4" fontId="39" fillId="0" borderId="2" xfId="4" applyNumberFormat="1" applyFont="1" applyBorder="1" applyAlignment="1">
      <alignment horizontal="center" vertical="center"/>
    </xf>
    <xf numFmtId="4" fontId="60" fillId="0" borderId="2" xfId="4" applyNumberFormat="1" applyFont="1" applyBorder="1" applyAlignment="1">
      <alignment horizontal="center" vertical="center"/>
    </xf>
    <xf numFmtId="0" fontId="169" fillId="12" borderId="2" xfId="4" applyNumberFormat="1" applyFont="1" applyFill="1" applyBorder="1" applyAlignment="1">
      <alignment horizontal="center" vertical="center"/>
    </xf>
    <xf numFmtId="0" fontId="169" fillId="12" borderId="2" xfId="4" applyFont="1" applyFill="1" applyBorder="1" applyAlignment="1">
      <alignment horizontal="left" vertical="center" wrapText="1" readingOrder="1"/>
    </xf>
    <xf numFmtId="175" fontId="169" fillId="12" borderId="2" xfId="4" applyNumberFormat="1" applyFont="1" applyFill="1" applyBorder="1" applyAlignment="1">
      <alignment horizontal="center" vertical="center" wrapText="1" readingOrder="1"/>
    </xf>
    <xf numFmtId="175" fontId="122" fillId="12" borderId="2" xfId="4" applyNumberFormat="1" applyFont="1" applyFill="1" applyBorder="1" applyAlignment="1">
      <alignment horizontal="center" vertical="center" wrapText="1" readingOrder="1"/>
    </xf>
    <xf numFmtId="49" fontId="55" fillId="0" borderId="2" xfId="4" applyNumberFormat="1" applyFont="1" applyBorder="1" applyAlignment="1">
      <alignment horizontal="center" vertical="center"/>
    </xf>
    <xf numFmtId="0" fontId="55" fillId="0" borderId="2" xfId="4" applyFont="1" applyBorder="1" applyAlignment="1">
      <alignment horizontal="left" vertical="center" readingOrder="1"/>
    </xf>
    <xf numFmtId="4" fontId="69" fillId="0" borderId="2" xfId="4" applyNumberFormat="1" applyBorder="1" applyAlignment="1">
      <alignment horizontal="center" vertical="center" wrapText="1" readingOrder="1"/>
    </xf>
    <xf numFmtId="4" fontId="55" fillId="0" borderId="2" xfId="4" applyNumberFormat="1" applyFont="1" applyBorder="1" applyAlignment="1">
      <alignment horizontal="center" vertical="center" wrapText="1" readingOrder="1"/>
    </xf>
    <xf numFmtId="49" fontId="169" fillId="12" borderId="2" xfId="4" applyNumberFormat="1" applyFont="1" applyFill="1" applyBorder="1" applyAlignment="1">
      <alignment horizontal="center" vertical="center"/>
    </xf>
    <xf numFmtId="0" fontId="39" fillId="2" borderId="0" xfId="4" applyFont="1" applyFill="1"/>
    <xf numFmtId="4" fontId="39" fillId="2" borderId="2" xfId="4" applyNumberFormat="1" applyFont="1" applyFill="1" applyBorder="1" applyAlignment="1">
      <alignment horizontal="center" vertical="center" wrapText="1" readingOrder="1"/>
    </xf>
    <xf numFmtId="0" fontId="106" fillId="0" borderId="2" xfId="4" applyFont="1" applyBorder="1" applyAlignment="1">
      <alignment horizontal="center" vertical="center"/>
    </xf>
    <xf numFmtId="0" fontId="117" fillId="0" borderId="2" xfId="4" applyFont="1" applyFill="1" applyBorder="1" applyAlignment="1">
      <alignment horizontal="left" vertical="center" wrapText="1"/>
    </xf>
    <xf numFmtId="4" fontId="55" fillId="3" borderId="2" xfId="4" applyNumberFormat="1" applyFont="1" applyFill="1" applyBorder="1" applyAlignment="1">
      <alignment horizontal="center" vertical="center" wrapText="1" readingOrder="1"/>
    </xf>
    <xf numFmtId="0" fontId="39" fillId="2" borderId="2" xfId="4" applyFont="1" applyFill="1" applyBorder="1" applyAlignment="1">
      <alignment horizontal="left" vertical="center" wrapText="1"/>
    </xf>
    <xf numFmtId="49" fontId="169" fillId="3" borderId="2" xfId="4" applyNumberFormat="1" applyFont="1" applyFill="1" applyBorder="1" applyAlignment="1">
      <alignment horizontal="center" vertical="center"/>
    </xf>
    <xf numFmtId="0" fontId="55" fillId="3" borderId="2" xfId="4" applyFont="1" applyFill="1" applyBorder="1" applyAlignment="1">
      <alignment horizontal="left" vertical="center" wrapText="1"/>
    </xf>
    <xf numFmtId="0" fontId="55" fillId="0" borderId="2" xfId="4" applyFont="1" applyBorder="1" applyAlignment="1">
      <alignment horizontal="left" vertical="center" wrapText="1"/>
    </xf>
    <xf numFmtId="0" fontId="106" fillId="0" borderId="2" xfId="4" applyFont="1" applyFill="1" applyBorder="1" applyAlignment="1">
      <alignment horizontal="center" vertical="center"/>
    </xf>
    <xf numFmtId="0" fontId="55" fillId="0" borderId="2" xfId="4" applyFont="1" applyFill="1" applyBorder="1" applyAlignment="1">
      <alignment horizontal="left" vertical="center" wrapText="1"/>
    </xf>
    <xf numFmtId="4" fontId="69" fillId="0" borderId="2" xfId="4" applyNumberFormat="1" applyFill="1" applyBorder="1" applyAlignment="1">
      <alignment horizontal="center" vertical="center" wrapText="1" readingOrder="1"/>
    </xf>
    <xf numFmtId="4" fontId="55" fillId="0" borderId="2" xfId="4" applyNumberFormat="1" applyFont="1" applyFill="1" applyBorder="1" applyAlignment="1">
      <alignment horizontal="center" vertical="center" wrapText="1" readingOrder="1"/>
    </xf>
    <xf numFmtId="4" fontId="98" fillId="0" borderId="0" xfId="4" applyNumberFormat="1" applyFont="1" applyFill="1"/>
    <xf numFmtId="49" fontId="105" fillId="3" borderId="2" xfId="4" applyNumberFormat="1" applyFont="1" applyFill="1" applyBorder="1" applyAlignment="1">
      <alignment horizontal="center" vertical="center"/>
    </xf>
    <xf numFmtId="0" fontId="170" fillId="3" borderId="2" xfId="4" applyFont="1" applyFill="1" applyBorder="1" applyAlignment="1">
      <alignment horizontal="left" vertical="center" wrapText="1" readingOrder="1"/>
    </xf>
    <xf numFmtId="175" fontId="71" fillId="3" borderId="2" xfId="4" applyNumberFormat="1" applyFont="1" applyFill="1" applyBorder="1" applyAlignment="1">
      <alignment horizontal="center" vertical="center" wrapText="1" readingOrder="1"/>
    </xf>
    <xf numFmtId="0" fontId="69" fillId="3" borderId="2" xfId="4" applyFill="1" applyBorder="1" applyAlignment="1">
      <alignment horizontal="center" vertical="center" readingOrder="1"/>
    </xf>
    <xf numFmtId="49" fontId="171" fillId="3" borderId="2" xfId="4" applyNumberFormat="1" applyFont="1" applyFill="1" applyBorder="1" applyAlignment="1">
      <alignment horizontal="center" vertical="center"/>
    </xf>
    <xf numFmtId="0" fontId="72" fillId="3" borderId="2" xfId="4" applyFont="1" applyFill="1" applyBorder="1" applyAlignment="1">
      <alignment horizontal="left" vertical="center" wrapText="1" readingOrder="1"/>
    </xf>
    <xf numFmtId="175" fontId="72" fillId="3" borderId="2" xfId="4" applyNumberFormat="1" applyFont="1" applyFill="1" applyBorder="1" applyAlignment="1">
      <alignment horizontal="center" vertical="center" wrapText="1" readingOrder="1"/>
    </xf>
    <xf numFmtId="175" fontId="65" fillId="3" borderId="2" xfId="4" applyNumberFormat="1" applyFont="1" applyFill="1" applyBorder="1" applyAlignment="1">
      <alignment horizontal="center" vertical="center" wrapText="1" readingOrder="1"/>
    </xf>
    <xf numFmtId="0" fontId="71" fillId="3" borderId="2" xfId="4" applyFont="1" applyFill="1" applyBorder="1" applyAlignment="1">
      <alignment horizontal="left" vertical="center" wrapText="1" readingOrder="1"/>
    </xf>
    <xf numFmtId="0" fontId="172" fillId="3" borderId="2" xfId="4" applyFont="1" applyFill="1" applyBorder="1" applyAlignment="1">
      <alignment horizontal="left" vertical="center" wrapText="1" readingOrder="1"/>
    </xf>
    <xf numFmtId="0" fontId="117" fillId="3" borderId="2" xfId="4" applyFont="1" applyFill="1" applyBorder="1" applyAlignment="1">
      <alignment horizontal="left" vertical="center" wrapText="1" readingOrder="1"/>
    </xf>
    <xf numFmtId="175" fontId="55" fillId="3" borderId="2" xfId="4" applyNumberFormat="1" applyFont="1" applyFill="1" applyBorder="1" applyAlignment="1">
      <alignment horizontal="center" vertical="center" readingOrder="1"/>
    </xf>
    <xf numFmtId="175" fontId="71" fillId="0" borderId="2" xfId="4" applyNumberFormat="1" applyFont="1" applyFill="1" applyBorder="1" applyAlignment="1">
      <alignment horizontal="center" vertical="center" wrapText="1" readingOrder="1"/>
    </xf>
    <xf numFmtId="49" fontId="104" fillId="3" borderId="2" xfId="4" applyNumberFormat="1" applyFont="1" applyFill="1" applyBorder="1" applyAlignment="1">
      <alignment horizontal="center" vertical="center"/>
    </xf>
    <xf numFmtId="0" fontId="65" fillId="3" borderId="2" xfId="4" applyFont="1" applyFill="1" applyBorder="1" applyAlignment="1">
      <alignment horizontal="left" vertical="center" wrapText="1" readingOrder="1"/>
    </xf>
    <xf numFmtId="175" fontId="170" fillId="3" borderId="2" xfId="4" applyNumberFormat="1" applyFont="1" applyFill="1" applyBorder="1" applyAlignment="1">
      <alignment horizontal="center" vertical="center" wrapText="1" readingOrder="1"/>
    </xf>
    <xf numFmtId="49" fontId="171" fillId="0" borderId="2" xfId="4" applyNumberFormat="1" applyFont="1" applyFill="1" applyBorder="1" applyAlignment="1">
      <alignment horizontal="center" vertical="center"/>
    </xf>
    <xf numFmtId="0" fontId="72" fillId="0" borderId="2" xfId="4" applyFont="1" applyFill="1" applyBorder="1" applyAlignment="1">
      <alignment horizontal="left" vertical="center" wrapText="1" readingOrder="1"/>
    </xf>
    <xf numFmtId="175" fontId="72" fillId="0" borderId="2" xfId="4" applyNumberFormat="1" applyFont="1" applyFill="1" applyBorder="1" applyAlignment="1">
      <alignment horizontal="center" vertical="center" wrapText="1" readingOrder="1"/>
    </xf>
    <xf numFmtId="175" fontId="65" fillId="0" borderId="2" xfId="4" applyNumberFormat="1" applyFont="1" applyFill="1" applyBorder="1" applyAlignment="1">
      <alignment horizontal="center" vertical="center" wrapText="1" readingOrder="1"/>
    </xf>
    <xf numFmtId="0" fontId="117" fillId="0" borderId="2" xfId="4" applyFont="1" applyFill="1" applyBorder="1" applyAlignment="1">
      <alignment horizontal="left" vertical="center" wrapText="1" readingOrder="1"/>
    </xf>
    <xf numFmtId="175" fontId="170" fillId="0" borderId="2" xfId="4" applyNumberFormat="1" applyFont="1" applyFill="1" applyBorder="1" applyAlignment="1">
      <alignment horizontal="center" vertical="center" wrapText="1" readingOrder="1"/>
    </xf>
    <xf numFmtId="49" fontId="104" fillId="0" borderId="2" xfId="4" applyNumberFormat="1" applyFont="1" applyFill="1" applyBorder="1" applyAlignment="1">
      <alignment horizontal="center" vertical="center"/>
    </xf>
    <xf numFmtId="175" fontId="122" fillId="2" borderId="2" xfId="4" applyNumberFormat="1" applyFont="1" applyFill="1" applyBorder="1" applyAlignment="1">
      <alignment horizontal="center" vertical="center" wrapText="1" readingOrder="1"/>
    </xf>
    <xf numFmtId="0" fontId="71" fillId="0" borderId="2" xfId="4" applyFont="1" applyFill="1" applyBorder="1" applyAlignment="1">
      <alignment horizontal="left" vertical="center" wrapText="1" readingOrder="1"/>
    </xf>
    <xf numFmtId="175" fontId="117" fillId="0" borderId="2" xfId="4" applyNumberFormat="1" applyFont="1" applyFill="1" applyBorder="1" applyAlignment="1">
      <alignment horizontal="center" vertical="center" wrapText="1" readingOrder="1"/>
    </xf>
    <xf numFmtId="175" fontId="169" fillId="2" borderId="2" xfId="4" applyNumberFormat="1" applyFont="1" applyFill="1" applyBorder="1" applyAlignment="1">
      <alignment horizontal="center" vertical="center" wrapText="1" readingOrder="1"/>
    </xf>
    <xf numFmtId="0" fontId="105" fillId="0" borderId="2" xfId="4" applyNumberFormat="1" applyFont="1" applyFill="1" applyBorder="1" applyAlignment="1">
      <alignment horizontal="center" vertical="center"/>
    </xf>
    <xf numFmtId="0" fontId="69" fillId="0" borderId="2" xfId="4" applyFill="1" applyBorder="1" applyAlignment="1">
      <alignment horizontal="center" vertical="center" readingOrder="1"/>
    </xf>
    <xf numFmtId="0" fontId="172" fillId="0" borderId="2" xfId="4" applyFont="1" applyFill="1" applyBorder="1" applyAlignment="1">
      <alignment horizontal="left" vertical="center" wrapText="1" readingOrder="1"/>
    </xf>
    <xf numFmtId="0" fontId="172" fillId="11" borderId="2" xfId="4" applyFont="1" applyFill="1" applyBorder="1" applyAlignment="1">
      <alignment horizontal="left" vertical="center" wrapText="1" readingOrder="1"/>
    </xf>
    <xf numFmtId="0" fontId="169" fillId="3" borderId="2" xfId="4" applyFont="1" applyFill="1" applyBorder="1" applyAlignment="1">
      <alignment horizontal="center" vertical="center" wrapText="1"/>
    </xf>
    <xf numFmtId="0" fontId="169" fillId="3" borderId="2" xfId="4" applyFont="1" applyFill="1" applyBorder="1" applyAlignment="1">
      <alignment horizontal="left" wrapText="1"/>
    </xf>
    <xf numFmtId="175" fontId="169" fillId="0" borderId="2" xfId="4" applyNumberFormat="1" applyFont="1" applyFill="1" applyBorder="1" applyAlignment="1">
      <alignment horizontal="center" vertical="center" wrapText="1" readingOrder="1"/>
    </xf>
    <xf numFmtId="4" fontId="69" fillId="0" borderId="0" xfId="4" applyNumberFormat="1" applyFill="1"/>
    <xf numFmtId="49" fontId="105" fillId="0" borderId="2" xfId="4" applyNumberFormat="1" applyFont="1" applyFill="1" applyBorder="1" applyAlignment="1">
      <alignment horizontal="center" vertical="center"/>
    </xf>
    <xf numFmtId="175" fontId="55" fillId="0" borderId="2" xfId="4" applyNumberFormat="1" applyFont="1" applyFill="1" applyBorder="1" applyAlignment="1">
      <alignment horizontal="center" vertical="center" wrapText="1" readingOrder="1"/>
    </xf>
    <xf numFmtId="175" fontId="55" fillId="0" borderId="2" xfId="4" applyNumberFormat="1" applyFont="1" applyFill="1" applyBorder="1" applyAlignment="1">
      <alignment horizontal="center" vertical="center" readingOrder="1"/>
    </xf>
    <xf numFmtId="175" fontId="76" fillId="0" borderId="2" xfId="4" applyNumberFormat="1" applyFont="1" applyFill="1" applyBorder="1" applyAlignment="1">
      <alignment horizontal="center" vertical="center" readingOrder="1"/>
    </xf>
    <xf numFmtId="0" fontId="71" fillId="0" borderId="2" xfId="4" quotePrefix="1" applyFont="1" applyFill="1" applyBorder="1" applyAlignment="1">
      <alignment horizontal="left" vertical="center" wrapText="1" readingOrder="1"/>
    </xf>
    <xf numFmtId="49" fontId="169" fillId="2" borderId="2" xfId="4" applyNumberFormat="1" applyFont="1" applyFill="1" applyBorder="1" applyAlignment="1">
      <alignment horizontal="center" vertical="center"/>
    </xf>
    <xf numFmtId="0" fontId="169" fillId="2" borderId="2" xfId="4" applyFont="1" applyFill="1" applyBorder="1" applyAlignment="1">
      <alignment horizontal="left" vertical="center" wrapText="1" readingOrder="1"/>
    </xf>
    <xf numFmtId="175" fontId="172" fillId="3" borderId="2" xfId="4" applyNumberFormat="1" applyFont="1" applyFill="1" applyBorder="1" applyAlignment="1">
      <alignment horizontal="center" vertical="center" wrapText="1" readingOrder="1"/>
    </xf>
    <xf numFmtId="175" fontId="117" fillId="3" borderId="2" xfId="4" applyNumberFormat="1" applyFont="1" applyFill="1" applyBorder="1" applyAlignment="1">
      <alignment horizontal="center" vertical="center" wrapText="1" readingOrder="1"/>
    </xf>
    <xf numFmtId="0" fontId="51" fillId="0" borderId="0" xfId="4" applyFont="1" applyFill="1"/>
    <xf numFmtId="0" fontId="51" fillId="0" borderId="0" xfId="4" applyFont="1" applyFill="1" applyAlignment="1">
      <alignment horizontal="right"/>
    </xf>
    <xf numFmtId="4" fontId="68" fillId="0" borderId="0" xfId="4" applyNumberFormat="1" applyFont="1" applyFill="1"/>
    <xf numFmtId="176" fontId="68" fillId="0" borderId="0" xfId="4" applyNumberFormat="1" applyFont="1" applyFill="1"/>
    <xf numFmtId="175" fontId="68" fillId="0" borderId="0" xfId="4" applyNumberFormat="1" applyFont="1" applyFill="1"/>
    <xf numFmtId="0" fontId="55" fillId="0" borderId="0" xfId="15" applyFont="1"/>
    <xf numFmtId="0" fontId="96" fillId="0" borderId="0" xfId="15" applyFont="1" applyAlignment="1"/>
    <xf numFmtId="0" fontId="96" fillId="0" borderId="0" xfId="15" applyFont="1" applyAlignment="1">
      <alignment wrapText="1"/>
    </xf>
    <xf numFmtId="0" fontId="96" fillId="0" borderId="0" xfId="15" applyFont="1" applyAlignment="1">
      <alignment horizontal="center" wrapText="1"/>
    </xf>
    <xf numFmtId="0" fontId="98" fillId="0" borderId="0" xfId="15" applyFont="1" applyAlignment="1">
      <alignment horizontal="right"/>
    </xf>
    <xf numFmtId="0" fontId="98" fillId="0" borderId="2" xfId="15" applyFont="1" applyBorder="1" applyAlignment="1">
      <alignment horizontal="center"/>
    </xf>
    <xf numFmtId="0" fontId="39" fillId="0" borderId="2" xfId="2" applyFont="1" applyBorder="1" applyAlignment="1">
      <alignment horizontal="center" vertical="center" wrapText="1"/>
    </xf>
    <xf numFmtId="0" fontId="113" fillId="0" borderId="2" xfId="15" applyFont="1" applyBorder="1" applyAlignment="1">
      <alignment wrapText="1"/>
    </xf>
    <xf numFmtId="0" fontId="68" fillId="0" borderId="0" xfId="15" applyFont="1"/>
    <xf numFmtId="0" fontId="113" fillId="12" borderId="2" xfId="15" applyFont="1" applyFill="1" applyBorder="1" applyAlignment="1">
      <alignment horizontal="center"/>
    </xf>
    <xf numFmtId="0" fontId="113" fillId="12" borderId="2" xfId="15" applyFont="1" applyFill="1" applyBorder="1" applyAlignment="1">
      <alignment horizontal="left" wrapText="1"/>
    </xf>
    <xf numFmtId="4" fontId="113" fillId="12" borderId="2" xfId="17" applyNumberFormat="1" applyFont="1" applyFill="1" applyBorder="1" applyAlignment="1">
      <alignment horizontal="center" vertical="center"/>
    </xf>
    <xf numFmtId="49" fontId="116" fillId="0" borderId="2" xfId="15" applyNumberFormat="1" applyFont="1" applyFill="1" applyBorder="1" applyAlignment="1">
      <alignment horizontal="center" vertical="center" wrapText="1"/>
    </xf>
    <xf numFmtId="0" fontId="113" fillId="0" borderId="2" xfId="15" applyFont="1" applyFill="1" applyBorder="1" applyAlignment="1">
      <alignment horizontal="center" wrapText="1"/>
    </xf>
    <xf numFmtId="4" fontId="113" fillId="0" borderId="2" xfId="2" applyNumberFormat="1" applyFont="1" applyFill="1" applyBorder="1" applyAlignment="1">
      <alignment horizontal="center" vertical="center"/>
    </xf>
    <xf numFmtId="4" fontId="113" fillId="0" borderId="2" xfId="2" applyNumberFormat="1" applyFont="1" applyFill="1" applyBorder="1" applyAlignment="1">
      <alignment horizontal="center"/>
    </xf>
    <xf numFmtId="0" fontId="156" fillId="0" borderId="2" xfId="15" applyFont="1" applyFill="1" applyBorder="1" applyAlignment="1">
      <alignment horizontal="left" wrapText="1"/>
    </xf>
    <xf numFmtId="4" fontId="156" fillId="0" borderId="2" xfId="2" applyNumberFormat="1" applyFont="1" applyFill="1" applyBorder="1" applyAlignment="1">
      <alignment horizontal="center" vertical="center"/>
    </xf>
    <xf numFmtId="4" fontId="156" fillId="0" borderId="2" xfId="2" applyNumberFormat="1" applyFont="1" applyFill="1" applyBorder="1" applyAlignment="1">
      <alignment horizontal="center"/>
    </xf>
    <xf numFmtId="0" fontId="55" fillId="0" borderId="0" xfId="15" applyFont="1" applyFill="1"/>
    <xf numFmtId="49" fontId="173" fillId="0" borderId="2" xfId="15" applyNumberFormat="1" applyFont="1" applyFill="1" applyBorder="1" applyAlignment="1">
      <alignment horizontal="center" vertical="center" wrapText="1"/>
    </xf>
    <xf numFmtId="0" fontId="174" fillId="0" borderId="2" xfId="4" applyFont="1" applyFill="1" applyBorder="1" applyAlignment="1">
      <alignment vertical="top" wrapText="1"/>
    </xf>
    <xf numFmtId="4" fontId="174" fillId="0" borderId="2" xfId="2" applyNumberFormat="1" applyFont="1" applyFill="1" applyBorder="1" applyAlignment="1">
      <alignment horizontal="center" vertical="center"/>
    </xf>
    <xf numFmtId="4" fontId="174" fillId="0" borderId="2" xfId="2" applyNumberFormat="1" applyFont="1" applyFill="1" applyBorder="1" applyAlignment="1">
      <alignment horizontal="center"/>
    </xf>
    <xf numFmtId="0" fontId="76" fillId="0" borderId="0" xfId="15" applyFont="1"/>
    <xf numFmtId="49" fontId="175" fillId="0" borderId="2" xfId="15" applyNumberFormat="1" applyFont="1" applyFill="1" applyBorder="1" applyAlignment="1">
      <alignment horizontal="center" vertical="center" wrapText="1"/>
    </xf>
    <xf numFmtId="0" fontId="176" fillId="0" borderId="2" xfId="15" applyFont="1" applyFill="1" applyBorder="1" applyAlignment="1">
      <alignment horizontal="left" wrapText="1"/>
    </xf>
    <xf numFmtId="4" fontId="176" fillId="0" borderId="2" xfId="2" applyNumberFormat="1" applyFont="1" applyFill="1" applyBorder="1" applyAlignment="1">
      <alignment horizontal="center" vertical="center"/>
    </xf>
    <xf numFmtId="4" fontId="176" fillId="0" borderId="2" xfId="2" applyNumberFormat="1" applyFont="1" applyFill="1" applyBorder="1" applyAlignment="1">
      <alignment horizontal="center"/>
    </xf>
    <xf numFmtId="0" fontId="119" fillId="0" borderId="0" xfId="15" applyFont="1"/>
    <xf numFmtId="0" fontId="176" fillId="0" borderId="2" xfId="4" applyFont="1" applyFill="1" applyBorder="1" applyAlignment="1">
      <alignment vertical="top" wrapText="1"/>
    </xf>
    <xf numFmtId="16" fontId="113" fillId="11" borderId="2" xfId="15" applyNumberFormat="1" applyFont="1" applyFill="1" applyBorder="1" applyAlignment="1">
      <alignment horizontal="center"/>
    </xf>
    <xf numFmtId="0" fontId="115" fillId="0" borderId="2" xfId="15" applyFont="1" applyFill="1" applyBorder="1" applyAlignment="1">
      <alignment horizontal="center" wrapText="1"/>
    </xf>
    <xf numFmtId="4" fontId="113" fillId="11" borderId="2" xfId="17" applyNumberFormat="1" applyFont="1" applyFill="1" applyBorder="1" applyAlignment="1">
      <alignment horizontal="center" vertical="center"/>
    </xf>
    <xf numFmtId="0" fontId="55" fillId="0" borderId="2" xfId="15" applyFont="1" applyBorder="1"/>
    <xf numFmtId="164" fontId="154" fillId="3" borderId="2" xfId="11" applyNumberFormat="1" applyFont="1" applyFill="1" applyBorder="1" applyAlignment="1">
      <alignment vertical="center" wrapText="1"/>
    </xf>
    <xf numFmtId="4" fontId="116" fillId="11" borderId="2" xfId="17" applyNumberFormat="1" applyFont="1" applyFill="1" applyBorder="1" applyAlignment="1">
      <alignment horizontal="center" vertical="center"/>
    </xf>
    <xf numFmtId="164" fontId="116" fillId="0" borderId="2" xfId="11" applyNumberFormat="1" applyFont="1" applyFill="1" applyBorder="1" applyAlignment="1">
      <alignment horizontal="left" vertical="justify" wrapText="1"/>
    </xf>
    <xf numFmtId="164" fontId="116" fillId="0" borderId="2" xfId="11" applyNumberFormat="1" applyFont="1" applyFill="1" applyBorder="1" applyAlignment="1">
      <alignment horizontal="left" vertical="center" wrapText="1"/>
    </xf>
    <xf numFmtId="4" fontId="113" fillId="2" borderId="2" xfId="17" applyNumberFormat="1" applyFont="1" applyFill="1" applyBorder="1" applyAlignment="1">
      <alignment horizontal="center" vertical="center"/>
    </xf>
    <xf numFmtId="0" fontId="55" fillId="2" borderId="2" xfId="15" applyFont="1" applyFill="1" applyBorder="1"/>
    <xf numFmtId="0" fontId="116" fillId="0" borderId="2" xfId="15" applyFont="1" applyBorder="1" applyAlignment="1">
      <alignment vertical="center"/>
    </xf>
    <xf numFmtId="0" fontId="116" fillId="0" borderId="2" xfId="15" applyFont="1" applyBorder="1" applyAlignment="1">
      <alignment vertical="center" wrapText="1"/>
    </xf>
    <xf numFmtId="0" fontId="116" fillId="0" borderId="2" xfId="15" applyFont="1" applyBorder="1"/>
    <xf numFmtId="16" fontId="113" fillId="12" borderId="2" xfId="15" applyNumberFormat="1" applyFont="1" applyFill="1" applyBorder="1" applyAlignment="1">
      <alignment horizontal="center"/>
    </xf>
    <xf numFmtId="0" fontId="113" fillId="12" borderId="2" xfId="15" applyFont="1" applyFill="1" applyBorder="1" applyAlignment="1">
      <alignment horizontal="center" vertical="center" wrapText="1"/>
    </xf>
    <xf numFmtId="16" fontId="113" fillId="11" borderId="0" xfId="15" applyNumberFormat="1" applyFont="1" applyFill="1" applyBorder="1" applyAlignment="1">
      <alignment horizontal="center"/>
    </xf>
    <xf numFmtId="0" fontId="177" fillId="11" borderId="0" xfId="15" applyFont="1" applyFill="1" applyBorder="1" applyAlignment="1">
      <alignment horizontal="center" vertical="center" wrapText="1"/>
    </xf>
    <xf numFmtId="4" fontId="113" fillId="11" borderId="0" xfId="17" applyNumberFormat="1" applyFont="1" applyFill="1" applyBorder="1" applyAlignment="1">
      <alignment horizontal="center" vertical="center"/>
    </xf>
    <xf numFmtId="49" fontId="116" fillId="0" borderId="0" xfId="15" applyNumberFormat="1" applyFont="1" applyFill="1" applyBorder="1" applyAlignment="1">
      <alignment horizontal="center" vertical="center" wrapText="1"/>
    </xf>
    <xf numFmtId="0" fontId="116" fillId="0" borderId="0" xfId="15" applyFont="1" applyBorder="1" applyAlignment="1">
      <alignment vertical="top" wrapText="1"/>
    </xf>
    <xf numFmtId="168" fontId="154" fillId="0" borderId="0" xfId="17" applyNumberFormat="1" applyFont="1" applyFill="1" applyBorder="1" applyAlignment="1">
      <alignment horizontal="center" vertical="center" wrapText="1"/>
    </xf>
    <xf numFmtId="0" fontId="116" fillId="0" borderId="0" xfId="15" applyFont="1"/>
    <xf numFmtId="0" fontId="178" fillId="0" borderId="0" xfId="15" applyFont="1"/>
    <xf numFmtId="0" fontId="70" fillId="0" borderId="0" xfId="18" applyFont="1" applyFill="1"/>
    <xf numFmtId="0" fontId="2" fillId="0" borderId="0" xfId="18" applyFont="1" applyFill="1" applyAlignment="1">
      <alignment horizontal="right" wrapText="1"/>
    </xf>
    <xf numFmtId="0" fontId="2" fillId="0" borderId="0" xfId="18" applyFont="1" applyFill="1"/>
    <xf numFmtId="0" fontId="70" fillId="0" borderId="0" xfId="18" applyFont="1" applyFill="1" applyAlignment="1">
      <alignment horizontal="center"/>
    </xf>
    <xf numFmtId="0" fontId="70" fillId="0" borderId="0" xfId="18" applyFont="1" applyFill="1" applyAlignment="1">
      <alignment horizontal="right"/>
    </xf>
    <xf numFmtId="0" fontId="2" fillId="0" borderId="0" xfId="18" applyFont="1" applyFill="1" applyAlignment="1">
      <alignment horizontal="center" vertical="center"/>
    </xf>
    <xf numFmtId="0" fontId="7" fillId="0" borderId="0" xfId="18" applyFont="1" applyFill="1"/>
    <xf numFmtId="0" fontId="181" fillId="3" borderId="2" xfId="5" applyFont="1" applyFill="1" applyBorder="1" applyAlignment="1" applyProtection="1">
      <alignment horizontal="left" vertical="center" wrapText="1"/>
    </xf>
    <xf numFmtId="4" fontId="182" fillId="0" borderId="2" xfId="18" applyNumberFormat="1" applyFont="1" applyFill="1" applyBorder="1" applyAlignment="1">
      <alignment horizontal="center"/>
    </xf>
    <xf numFmtId="0" fontId="41" fillId="0" borderId="0" xfId="18" applyFont="1" applyFill="1"/>
    <xf numFmtId="165" fontId="70" fillId="0" borderId="2" xfId="18" applyNumberFormat="1" applyFont="1" applyFill="1" applyBorder="1"/>
    <xf numFmtId="4" fontId="70" fillId="0" borderId="2" xfId="18" applyNumberFormat="1" applyFont="1" applyFill="1" applyBorder="1" applyAlignment="1">
      <alignment horizontal="center"/>
    </xf>
    <xf numFmtId="4" fontId="70" fillId="11" borderId="2" xfId="18" applyNumberFormat="1" applyFont="1" applyFill="1" applyBorder="1" applyAlignment="1">
      <alignment horizontal="center"/>
    </xf>
    <xf numFmtId="0" fontId="147" fillId="0" borderId="0" xfId="18" applyFont="1"/>
    <xf numFmtId="165" fontId="70" fillId="0" borderId="2" xfId="18" applyNumberFormat="1" applyFont="1" applyFill="1" applyBorder="1" applyAlignment="1">
      <alignment wrapText="1"/>
    </xf>
    <xf numFmtId="0" fontId="183" fillId="0" borderId="2" xfId="19" applyFont="1" applyBorder="1" applyAlignment="1">
      <alignment wrapText="1"/>
    </xf>
    <xf numFmtId="0" fontId="147" fillId="0" borderId="0" xfId="18" applyFont="1" applyFill="1"/>
    <xf numFmtId="165" fontId="184" fillId="0" borderId="2" xfId="18" applyNumberFormat="1" applyFont="1" applyFill="1" applyBorder="1" applyAlignment="1">
      <alignment wrapText="1"/>
    </xf>
    <xf numFmtId="0" fontId="98" fillId="0" borderId="2" xfId="5" applyFont="1" applyBorder="1" applyAlignment="1" applyProtection="1">
      <alignment horizontal="left" vertical="center" wrapText="1"/>
    </xf>
    <xf numFmtId="0" fontId="107" fillId="0" borderId="2" xfId="5" applyFont="1" applyBorder="1" applyAlignment="1" applyProtection="1">
      <alignment horizontal="right" vertical="center" wrapText="1"/>
    </xf>
    <xf numFmtId="4" fontId="185" fillId="11" borderId="2" xfId="18" applyNumberFormat="1" applyFont="1" applyFill="1" applyBorder="1" applyAlignment="1">
      <alignment horizontal="center"/>
    </xf>
    <xf numFmtId="4" fontId="185" fillId="0" borderId="2" xfId="18" applyNumberFormat="1" applyFont="1" applyFill="1" applyBorder="1" applyAlignment="1">
      <alignment horizontal="center"/>
    </xf>
    <xf numFmtId="0" fontId="89" fillId="0" borderId="2" xfId="5" applyFont="1" applyBorder="1" applyAlignment="1" applyProtection="1">
      <alignment horizontal="left" vertical="center" wrapText="1"/>
    </xf>
    <xf numFmtId="0" fontId="186" fillId="0" borderId="0" xfId="18" applyFont="1"/>
    <xf numFmtId="0" fontId="89" fillId="11" borderId="2" xfId="2" applyFont="1" applyFill="1" applyBorder="1" applyAlignment="1">
      <alignment vertical="top" wrapText="1" shrinkToFit="1"/>
    </xf>
    <xf numFmtId="4" fontId="70" fillId="3" borderId="2" xfId="18" applyNumberFormat="1" applyFont="1" applyFill="1" applyBorder="1" applyAlignment="1">
      <alignment horizontal="center"/>
    </xf>
    <xf numFmtId="0" fontId="147" fillId="11" borderId="0" xfId="18" applyFont="1" applyFill="1"/>
    <xf numFmtId="0" fontId="98" fillId="0" borderId="2" xfId="5" applyFont="1" applyFill="1" applyBorder="1" applyAlignment="1" applyProtection="1">
      <alignment horizontal="left" vertical="center" wrapText="1"/>
    </xf>
    <xf numFmtId="0" fontId="98" fillId="0" borderId="2" xfId="5" applyFont="1" applyFill="1" applyBorder="1" applyAlignment="1" applyProtection="1">
      <alignment vertical="center" wrapText="1"/>
    </xf>
    <xf numFmtId="0" fontId="98" fillId="11" borderId="2" xfId="5" applyFont="1" applyFill="1" applyBorder="1" applyAlignment="1" applyProtection="1">
      <alignment horizontal="left" vertical="center" wrapText="1"/>
    </xf>
    <xf numFmtId="0" fontId="187" fillId="0" borderId="2" xfId="19" applyFont="1" applyBorder="1" applyAlignment="1">
      <alignment horizontal="left"/>
    </xf>
    <xf numFmtId="4" fontId="188" fillId="0" borderId="2" xfId="18" applyNumberFormat="1" applyFont="1" applyFill="1" applyBorder="1" applyAlignment="1">
      <alignment horizontal="center"/>
    </xf>
    <xf numFmtId="4" fontId="188" fillId="11" borderId="2" xfId="18" applyNumberFormat="1" applyFont="1" applyFill="1" applyBorder="1" applyAlignment="1">
      <alignment horizontal="center"/>
    </xf>
    <xf numFmtId="0" fontId="189" fillId="0" borderId="0" xfId="18" applyFont="1" applyFill="1"/>
    <xf numFmtId="4" fontId="180" fillId="0" borderId="2" xfId="18" applyNumberFormat="1" applyFont="1" applyFill="1" applyBorder="1" applyAlignment="1">
      <alignment horizontal="center"/>
    </xf>
    <xf numFmtId="0" fontId="190" fillId="11" borderId="0" xfId="18" applyFont="1" applyFill="1"/>
    <xf numFmtId="165" fontId="184" fillId="11" borderId="2" xfId="18" applyNumberFormat="1" applyFont="1" applyFill="1" applyBorder="1"/>
    <xf numFmtId="4" fontId="184" fillId="0" borderId="2" xfId="18" applyNumberFormat="1" applyFont="1" applyFill="1" applyBorder="1" applyAlignment="1">
      <alignment horizontal="center"/>
    </xf>
    <xf numFmtId="4" fontId="184" fillId="3" borderId="2" xfId="18" applyNumberFormat="1" applyFont="1" applyFill="1" applyBorder="1" applyAlignment="1">
      <alignment horizontal="center"/>
    </xf>
    <xf numFmtId="4" fontId="147" fillId="0" borderId="0" xfId="18" applyNumberFormat="1" applyFont="1" applyFill="1"/>
    <xf numFmtId="165" fontId="180" fillId="0" borderId="2" xfId="18" applyNumberFormat="1" applyFont="1" applyFill="1" applyBorder="1" applyAlignment="1">
      <alignment horizontal="left"/>
    </xf>
    <xf numFmtId="0" fontId="190" fillId="0" borderId="0" xfId="18" applyFont="1" applyFill="1"/>
    <xf numFmtId="165" fontId="191" fillId="0" borderId="2" xfId="18" applyNumberFormat="1" applyFont="1" applyBorder="1" applyAlignment="1">
      <alignment vertical="center"/>
    </xf>
    <xf numFmtId="4" fontId="70" fillId="0" borderId="2" xfId="18" applyNumberFormat="1" applyFont="1" applyFill="1" applyBorder="1" applyAlignment="1">
      <alignment horizontal="center" vertical="center"/>
    </xf>
    <xf numFmtId="4" fontId="70" fillId="11" borderId="2" xfId="18" applyNumberFormat="1" applyFont="1" applyFill="1" applyBorder="1" applyAlignment="1">
      <alignment horizontal="center" vertical="center"/>
    </xf>
    <xf numFmtId="4" fontId="70" fillId="3" borderId="2" xfId="18" applyNumberFormat="1" applyFont="1" applyFill="1" applyBorder="1" applyAlignment="1">
      <alignment horizontal="center" vertical="center"/>
    </xf>
    <xf numFmtId="4" fontId="98" fillId="0" borderId="2" xfId="18" applyNumberFormat="1" applyFont="1" applyFill="1" applyBorder="1" applyAlignment="1">
      <alignment horizontal="center"/>
    </xf>
    <xf numFmtId="4" fontId="98" fillId="11" borderId="2" xfId="18" applyNumberFormat="1" applyFont="1" applyFill="1" applyBorder="1" applyAlignment="1">
      <alignment horizontal="center"/>
    </xf>
    <xf numFmtId="165" fontId="191" fillId="0" borderId="2" xfId="18" applyNumberFormat="1" applyFont="1" applyBorder="1" applyAlignment="1">
      <alignment vertical="center" wrapText="1"/>
    </xf>
    <xf numFmtId="4" fontId="98" fillId="11" borderId="2" xfId="18" applyNumberFormat="1" applyFont="1" applyFill="1" applyBorder="1" applyAlignment="1">
      <alignment horizontal="center" vertical="center"/>
    </xf>
    <xf numFmtId="165" fontId="192" fillId="0" borderId="2" xfId="18" applyNumberFormat="1" applyFont="1" applyBorder="1" applyAlignment="1">
      <alignment vertical="center"/>
    </xf>
    <xf numFmtId="4" fontId="180" fillId="0" borderId="2" xfId="18" applyNumberFormat="1" applyFont="1" applyFill="1" applyBorder="1" applyAlignment="1">
      <alignment horizontal="center" vertical="center"/>
    </xf>
    <xf numFmtId="165" fontId="193" fillId="0" borderId="2" xfId="18" applyNumberFormat="1" applyFont="1" applyBorder="1" applyAlignment="1">
      <alignment vertical="center" wrapText="1"/>
    </xf>
    <xf numFmtId="4" fontId="184" fillId="0" borderId="2" xfId="18" applyNumberFormat="1" applyFont="1" applyFill="1" applyBorder="1" applyAlignment="1">
      <alignment horizontal="center" vertical="center"/>
    </xf>
    <xf numFmtId="4" fontId="180" fillId="11" borderId="2" xfId="18" applyNumberFormat="1" applyFont="1" applyFill="1" applyBorder="1" applyAlignment="1">
      <alignment horizontal="center" vertical="center"/>
    </xf>
    <xf numFmtId="165" fontId="184" fillId="0" borderId="2" xfId="18" applyNumberFormat="1" applyFont="1" applyFill="1" applyBorder="1" applyAlignment="1">
      <alignment vertical="center" wrapText="1"/>
    </xf>
    <xf numFmtId="168" fontId="180" fillId="0" borderId="2" xfId="18" applyNumberFormat="1" applyFont="1" applyFill="1" applyBorder="1" applyAlignment="1">
      <alignment horizontal="center" vertical="center"/>
    </xf>
    <xf numFmtId="165" fontId="194" fillId="0" borderId="0" xfId="18" applyNumberFormat="1" applyFont="1" applyFill="1" applyBorder="1" applyAlignment="1"/>
    <xf numFmtId="165" fontId="194" fillId="0" borderId="0" xfId="18" applyNumberFormat="1" applyFont="1" applyFill="1" applyBorder="1" applyAlignment="1">
      <alignment horizontal="center"/>
    </xf>
    <xf numFmtId="165" fontId="194" fillId="0" borderId="0" xfId="18" applyNumberFormat="1" applyFont="1" applyFill="1" applyBorder="1" applyAlignment="1">
      <alignment horizontal="right"/>
    </xf>
    <xf numFmtId="4" fontId="70" fillId="0" borderId="0" xfId="18" applyNumberFormat="1" applyFont="1" applyFill="1" applyAlignment="1">
      <alignment horizontal="center"/>
    </xf>
    <xf numFmtId="4" fontId="195" fillId="0" borderId="0" xfId="18" applyNumberFormat="1" applyFont="1" applyFill="1" applyAlignment="1">
      <alignment horizontal="center"/>
    </xf>
    <xf numFmtId="0" fontId="14" fillId="11" borderId="2" xfId="2" applyFont="1" applyFill="1" applyBorder="1" applyAlignment="1">
      <alignment horizontal="center" vertical="top"/>
    </xf>
    <xf numFmtId="0" fontId="51" fillId="11" borderId="0" xfId="2" applyFont="1" applyFill="1" applyAlignment="1">
      <alignment horizontal="left" vertical="top" wrapText="1"/>
    </xf>
    <xf numFmtId="0" fontId="14" fillId="11" borderId="0" xfId="2" applyFont="1" applyFill="1" applyAlignment="1">
      <alignment horizontal="center" wrapText="1"/>
    </xf>
    <xf numFmtId="169" fontId="57" fillId="3" borderId="0" xfId="2" applyNumberFormat="1" applyFont="1" applyFill="1" applyAlignment="1">
      <alignment horizontal="left" wrapText="1"/>
    </xf>
    <xf numFmtId="0" fontId="14" fillId="3" borderId="0" xfId="2" applyFont="1" applyFill="1" applyAlignment="1">
      <alignment horizontal="left"/>
    </xf>
    <xf numFmtId="0" fontId="58" fillId="11" borderId="0" xfId="2" applyFont="1" applyFill="1" applyBorder="1" applyAlignment="1">
      <alignment horizontal="center" wrapText="1"/>
    </xf>
    <xf numFmtId="0" fontId="59" fillId="11" borderId="0" xfId="2" applyFont="1" applyFill="1" applyBorder="1" applyAlignment="1">
      <alignment horizontal="center"/>
    </xf>
    <xf numFmtId="0" fontId="14" fillId="11" borderId="0" xfId="2" applyFont="1" applyFill="1" applyBorder="1" applyAlignment="1">
      <alignment horizontal="center" vertical="top"/>
    </xf>
    <xf numFmtId="0" fontId="60" fillId="11" borderId="2" xfId="2" applyFont="1" applyFill="1" applyBorder="1" applyAlignment="1">
      <alignment horizontal="center" vertical="center" wrapText="1"/>
    </xf>
    <xf numFmtId="0" fontId="7" fillId="11" borderId="2" xfId="2" applyFont="1" applyFill="1" applyBorder="1" applyAlignment="1">
      <alignment horizontal="center" vertical="center" wrapText="1"/>
    </xf>
    <xf numFmtId="0" fontId="39" fillId="3" borderId="2" xfId="2" applyNumberFormat="1" applyFont="1" applyFill="1" applyBorder="1" applyAlignment="1" applyProtection="1">
      <alignment horizontal="center" vertical="center" wrapText="1"/>
    </xf>
    <xf numFmtId="4" fontId="61" fillId="3" borderId="2" xfId="2" applyNumberFormat="1" applyFont="1" applyFill="1" applyBorder="1" applyAlignment="1">
      <alignment horizontal="center" vertical="center" wrapText="1"/>
    </xf>
    <xf numFmtId="169" fontId="60" fillId="3" borderId="2" xfId="2" applyNumberFormat="1" applyFont="1" applyFill="1" applyBorder="1" applyAlignment="1">
      <alignment horizontal="center" vertical="center"/>
    </xf>
    <xf numFmtId="0" fontId="39" fillId="0" borderId="5" xfId="4" applyNumberFormat="1" applyFont="1" applyFill="1" applyBorder="1" applyAlignment="1" applyProtection="1">
      <alignment horizontal="left" vertical="center" wrapText="1"/>
    </xf>
    <xf numFmtId="0" fontId="39" fillId="0" borderId="16" xfId="4" applyNumberFormat="1" applyFont="1" applyFill="1" applyBorder="1" applyAlignment="1" applyProtection="1">
      <alignment horizontal="left" vertical="center" wrapText="1"/>
    </xf>
    <xf numFmtId="0" fontId="39" fillId="0" borderId="7" xfId="4" applyNumberFormat="1" applyFont="1" applyFill="1" applyBorder="1" applyAlignment="1" applyProtection="1">
      <alignment horizontal="left" vertical="center" wrapText="1"/>
    </xf>
    <xf numFmtId="0" fontId="51" fillId="0" borderId="0" xfId="4" applyFont="1" applyAlignment="1">
      <alignment horizontal="left" wrapText="1"/>
    </xf>
    <xf numFmtId="0" fontId="51" fillId="0" borderId="0" xfId="4" applyNumberFormat="1" applyFont="1" applyFill="1" applyAlignment="1" applyProtection="1">
      <alignment horizontal="right"/>
    </xf>
    <xf numFmtId="0" fontId="95" fillId="0" borderId="0" xfId="4" applyNumberFormat="1" applyFont="1" applyFill="1" applyAlignment="1" applyProtection="1">
      <alignment horizontal="left" vertical="center" wrapText="1"/>
    </xf>
    <xf numFmtId="0" fontId="96" fillId="0" borderId="0" xfId="9" applyNumberFormat="1" applyFont="1" applyFill="1" applyAlignment="1" applyProtection="1">
      <alignment horizontal="center" vertical="center" wrapText="1"/>
    </xf>
    <xf numFmtId="0" fontId="96" fillId="0" borderId="0" xfId="9" applyNumberFormat="1" applyFont="1" applyFill="1" applyAlignment="1" applyProtection="1">
      <alignment horizontal="center" vertical="center"/>
    </xf>
    <xf numFmtId="1" fontId="97" fillId="0" borderId="0" xfId="4" applyNumberFormat="1" applyFont="1" applyFill="1" applyAlignment="1" applyProtection="1">
      <alignment horizontal="center" vertical="center"/>
    </xf>
    <xf numFmtId="0" fontId="98" fillId="0" borderId="0" xfId="4" applyNumberFormat="1" applyFont="1" applyFill="1" applyAlignment="1" applyProtection="1">
      <alignment horizontal="center" vertical="top"/>
    </xf>
    <xf numFmtId="0" fontId="99" fillId="0" borderId="0" xfId="4" applyNumberFormat="1" applyFont="1" applyFill="1" applyAlignment="1" applyProtection="1">
      <alignment horizontal="right" vertical="center"/>
    </xf>
    <xf numFmtId="0" fontId="39" fillId="0" borderId="2" xfId="4" applyNumberFormat="1" applyFont="1" applyFill="1" applyBorder="1" applyAlignment="1" applyProtection="1">
      <alignment horizontal="center" vertical="center" wrapText="1"/>
    </xf>
    <xf numFmtId="0" fontId="55" fillId="0" borderId="1" xfId="4" applyNumberFormat="1" applyFont="1" applyFill="1" applyBorder="1" applyAlignment="1" applyProtection="1">
      <alignment horizontal="center" vertical="center" wrapText="1"/>
    </xf>
    <xf numFmtId="0" fontId="55" fillId="0" borderId="3" xfId="4" applyFont="1" applyBorder="1" applyAlignment="1">
      <alignment horizontal="center" vertical="center" wrapText="1"/>
    </xf>
    <xf numFmtId="0" fontId="55" fillId="0" borderId="2" xfId="4" applyNumberFormat="1" applyFont="1" applyFill="1" applyBorder="1" applyAlignment="1" applyProtection="1">
      <alignment horizontal="center" vertical="center" wrapText="1"/>
    </xf>
    <xf numFmtId="0" fontId="113" fillId="0" borderId="0" xfId="4" applyFont="1" applyFill="1" applyBorder="1" applyAlignment="1">
      <alignment horizontal="left" vertical="center" wrapText="1"/>
    </xf>
    <xf numFmtId="0" fontId="113" fillId="0" borderId="0" xfId="4" applyNumberFormat="1" applyFont="1" applyFill="1" applyAlignment="1" applyProtection="1">
      <alignment horizontal="center"/>
    </xf>
    <xf numFmtId="0" fontId="113" fillId="0" borderId="0" xfId="4" applyNumberFormat="1" applyFont="1" applyFill="1" applyAlignment="1" applyProtection="1">
      <alignment horizontal="left" wrapText="1"/>
    </xf>
    <xf numFmtId="0" fontId="119" fillId="0" borderId="2" xfId="4" applyNumberFormat="1" applyFont="1" applyFill="1" applyBorder="1" applyAlignment="1" applyProtection="1">
      <alignment horizontal="center" vertical="center" wrapText="1"/>
    </xf>
    <xf numFmtId="0" fontId="117" fillId="0" borderId="1" xfId="4" applyNumberFormat="1" applyFont="1" applyFill="1" applyBorder="1" applyAlignment="1" applyProtection="1">
      <alignment horizontal="center" vertical="center" wrapText="1"/>
    </xf>
    <xf numFmtId="0" fontId="117" fillId="0" borderId="3" xfId="4" applyNumberFormat="1" applyFont="1" applyFill="1" applyBorder="1" applyAlignment="1" applyProtection="1">
      <alignment horizontal="center" vertical="center" wrapText="1"/>
    </xf>
    <xf numFmtId="0" fontId="55" fillId="2" borderId="2" xfId="4" applyNumberFormat="1" applyFont="1" applyFill="1" applyBorder="1" applyAlignment="1" applyProtection="1">
      <alignment horizontal="center" vertical="center" wrapText="1"/>
    </xf>
    <xf numFmtId="0" fontId="55" fillId="0" borderId="5" xfId="4" applyNumberFormat="1" applyFont="1" applyFill="1" applyBorder="1" applyAlignment="1" applyProtection="1">
      <alignment horizontal="center" vertical="center" wrapText="1"/>
    </xf>
    <xf numFmtId="0" fontId="55" fillId="0" borderId="16" xfId="4" applyNumberFormat="1" applyFont="1" applyFill="1" applyBorder="1" applyAlignment="1" applyProtection="1">
      <alignment horizontal="center" vertical="center" wrapText="1"/>
    </xf>
    <xf numFmtId="0" fontId="55" fillId="0" borderId="7" xfId="4" applyFont="1" applyBorder="1" applyAlignment="1">
      <alignment horizontal="center" vertical="center" wrapText="1"/>
    </xf>
    <xf numFmtId="0" fontId="68" fillId="18" borderId="2" xfId="4" applyNumberFormat="1" applyFont="1" applyFill="1" applyBorder="1" applyAlignment="1" applyProtection="1">
      <alignment horizontal="center" vertical="center" wrapText="1"/>
    </xf>
    <xf numFmtId="0" fontId="55" fillId="0" borderId="4" xfId="4" applyNumberFormat="1" applyFont="1" applyFill="1" applyBorder="1" applyAlignment="1" applyProtection="1">
      <alignment horizontal="center" vertical="center" wrapText="1"/>
    </xf>
    <xf numFmtId="0" fontId="55" fillId="0" borderId="3" xfId="4" applyNumberFormat="1" applyFont="1" applyFill="1" applyBorder="1" applyAlignment="1" applyProtection="1">
      <alignment horizontal="center" vertical="center" wrapText="1"/>
    </xf>
    <xf numFmtId="169" fontId="95" fillId="0" borderId="0" xfId="2" applyNumberFormat="1" applyFont="1" applyFill="1" applyAlignment="1">
      <alignment horizontal="left" wrapText="1"/>
    </xf>
    <xf numFmtId="0" fontId="55" fillId="0" borderId="0" xfId="4" applyFont="1" applyAlignment="1">
      <alignment horizontal="left" wrapText="1"/>
    </xf>
    <xf numFmtId="0" fontId="112" fillId="0" borderId="0" xfId="4" applyNumberFormat="1" applyFont="1" applyFill="1" applyBorder="1" applyAlignment="1" applyProtection="1">
      <alignment horizontal="center" vertical="top" wrapText="1"/>
    </xf>
    <xf numFmtId="0" fontId="113" fillId="0" borderId="0" xfId="4" applyNumberFormat="1" applyFont="1" applyFill="1" applyBorder="1" applyAlignment="1" applyProtection="1">
      <alignment horizontal="center" vertical="top" wrapText="1"/>
    </xf>
    <xf numFmtId="0" fontId="99" fillId="0" borderId="1" xfId="4" applyNumberFormat="1" applyFont="1" applyFill="1" applyBorder="1" applyAlignment="1" applyProtection="1">
      <alignment horizontal="center" vertical="center" wrapText="1"/>
    </xf>
    <xf numFmtId="0" fontId="99" fillId="0" borderId="4" xfId="4" applyNumberFormat="1" applyFont="1" applyFill="1" applyBorder="1" applyAlignment="1" applyProtection="1">
      <alignment horizontal="center" vertical="center" wrapText="1"/>
    </xf>
    <xf numFmtId="0" fontId="99" fillId="0" borderId="3" xfId="4" applyNumberFormat="1" applyFont="1" applyFill="1" applyBorder="1" applyAlignment="1" applyProtection="1">
      <alignment horizontal="center" vertical="center" wrapText="1"/>
    </xf>
    <xf numFmtId="0" fontId="99" fillId="0" borderId="2" xfId="4" applyNumberFormat="1" applyFont="1" applyFill="1" applyBorder="1" applyAlignment="1" applyProtection="1">
      <alignment horizontal="center" vertical="center" wrapText="1"/>
    </xf>
    <xf numFmtId="0" fontId="39" fillId="0" borderId="5" xfId="4" applyNumberFormat="1" applyFont="1" applyFill="1" applyBorder="1" applyAlignment="1" applyProtection="1">
      <alignment horizontal="center" vertical="center" wrapText="1"/>
    </xf>
    <xf numFmtId="0" fontId="39" fillId="0" borderId="16" xfId="4" applyNumberFormat="1" applyFont="1" applyFill="1" applyBorder="1" applyAlignment="1" applyProtection="1">
      <alignment horizontal="center" vertical="center" wrapText="1"/>
    </xf>
    <xf numFmtId="0" fontId="39" fillId="18" borderId="2" xfId="4" applyNumberFormat="1" applyFont="1" applyFill="1" applyBorder="1" applyAlignment="1" applyProtection="1">
      <alignment horizontal="center" vertical="center" wrapText="1"/>
    </xf>
    <xf numFmtId="0" fontId="141" fillId="0" borderId="0" xfId="4" applyFont="1" applyFill="1" applyAlignment="1">
      <alignment horizontal="center"/>
    </xf>
    <xf numFmtId="0" fontId="55" fillId="0" borderId="0" xfId="4" applyNumberFormat="1" applyFont="1" applyFill="1" applyAlignment="1" applyProtection="1"/>
    <xf numFmtId="0" fontId="69" fillId="0" borderId="0" xfId="4" applyAlignment="1"/>
    <xf numFmtId="0" fontId="132" fillId="0" borderId="1" xfId="4" applyNumberFormat="1" applyFont="1" applyFill="1" applyBorder="1" applyAlignment="1" applyProtection="1">
      <alignment horizontal="center" vertical="center" wrapText="1"/>
    </xf>
    <xf numFmtId="0" fontId="132" fillId="0" borderId="4" xfId="4" applyNumberFormat="1" applyFont="1" applyFill="1" applyBorder="1" applyAlignment="1" applyProtection="1">
      <alignment horizontal="center" vertical="center" wrapText="1"/>
    </xf>
    <xf numFmtId="0" fontId="132" fillId="0" borderId="11" xfId="4" applyNumberFormat="1" applyFont="1" applyFill="1" applyBorder="1" applyAlignment="1" applyProtection="1">
      <alignment horizontal="center" vertical="center" wrapText="1"/>
    </xf>
    <xf numFmtId="0" fontId="132" fillId="0" borderId="17" xfId="4" applyNumberFormat="1" applyFont="1" applyFill="1" applyBorder="1" applyAlignment="1" applyProtection="1">
      <alignment horizontal="center" vertical="center" wrapText="1"/>
    </xf>
    <xf numFmtId="0" fontId="60" fillId="0" borderId="1" xfId="4" applyFont="1" applyBorder="1" applyAlignment="1">
      <alignment horizontal="center" vertical="center" wrapText="1"/>
    </xf>
    <xf numFmtId="0" fontId="60" fillId="0" borderId="3" xfId="4" applyFont="1" applyBorder="1" applyAlignment="1">
      <alignment horizontal="center" vertical="center" wrapText="1"/>
    </xf>
    <xf numFmtId="49" fontId="124" fillId="0" borderId="1" xfId="4" applyNumberFormat="1" applyFont="1" applyBorder="1" applyAlignment="1">
      <alignment horizontal="center" vertical="center" wrapText="1"/>
    </xf>
    <xf numFmtId="49" fontId="124" fillId="0" borderId="3" xfId="4" applyNumberFormat="1" applyFont="1" applyBorder="1" applyAlignment="1">
      <alignment horizontal="center" vertical="center" wrapText="1"/>
    </xf>
    <xf numFmtId="49" fontId="106" fillId="0" borderId="1" xfId="4" applyNumberFormat="1" applyFont="1" applyBorder="1" applyAlignment="1">
      <alignment horizontal="center" vertical="center" wrapText="1"/>
    </xf>
    <xf numFmtId="49" fontId="106" fillId="0" borderId="3" xfId="4" applyNumberFormat="1" applyFont="1" applyBorder="1" applyAlignment="1">
      <alignment horizontal="center" vertical="center" wrapText="1"/>
    </xf>
    <xf numFmtId="0" fontId="132" fillId="0" borderId="3" xfId="4" applyNumberFormat="1" applyFont="1" applyFill="1" applyBorder="1" applyAlignment="1" applyProtection="1">
      <alignment horizontal="center" vertical="center" wrapText="1"/>
    </xf>
    <xf numFmtId="0" fontId="113" fillId="0" borderId="0" xfId="4" applyNumberFormat="1" applyFont="1" applyFill="1" applyAlignment="1" applyProtection="1">
      <alignment horizontal="center" vertical="center" wrapText="1"/>
    </xf>
    <xf numFmtId="0" fontId="69" fillId="0" borderId="4" xfId="4" applyBorder="1" applyAlignment="1">
      <alignment horizontal="center" vertical="center" wrapText="1"/>
    </xf>
    <xf numFmtId="0" fontId="69" fillId="0" borderId="3" xfId="4" applyBorder="1" applyAlignment="1">
      <alignment horizontal="center" vertical="center" wrapText="1"/>
    </xf>
    <xf numFmtId="0" fontId="39" fillId="0" borderId="7" xfId="4" applyNumberFormat="1" applyFont="1" applyFill="1" applyBorder="1" applyAlignment="1" applyProtection="1">
      <alignment horizontal="center" vertical="center" wrapText="1"/>
    </xf>
    <xf numFmtId="0" fontId="60" fillId="0" borderId="2" xfId="4" applyFont="1" applyBorder="1" applyAlignment="1">
      <alignment horizontal="center"/>
    </xf>
    <xf numFmtId="0" fontId="95" fillId="3" borderId="2" xfId="4" applyFont="1" applyFill="1" applyBorder="1" applyAlignment="1">
      <alignment horizontal="left" vertical="top" wrapText="1"/>
    </xf>
    <xf numFmtId="0" fontId="60" fillId="0" borderId="2" xfId="4" applyFont="1" applyBorder="1" applyAlignment="1">
      <alignment horizontal="center" vertical="center"/>
    </xf>
    <xf numFmtId="2" fontId="51" fillId="0" borderId="0" xfId="4" applyNumberFormat="1" applyFont="1" applyAlignment="1">
      <alignment horizontal="left" wrapText="1"/>
    </xf>
    <xf numFmtId="0" fontId="55" fillId="0" borderId="2" xfId="4" applyFont="1" applyBorder="1" applyAlignment="1">
      <alignment horizontal="left" vertical="top" wrapText="1"/>
    </xf>
    <xf numFmtId="0" fontId="55" fillId="3" borderId="2" xfId="4" applyFont="1" applyFill="1" applyBorder="1" applyAlignment="1">
      <alignment horizontal="left" vertical="top" wrapText="1"/>
    </xf>
    <xf numFmtId="0" fontId="60" fillId="0" borderId="2" xfId="4" applyFont="1" applyBorder="1" applyAlignment="1">
      <alignment horizontal="left" vertical="top"/>
    </xf>
    <xf numFmtId="0" fontId="124" fillId="0" borderId="2" xfId="4" applyFont="1" applyBorder="1" applyAlignment="1">
      <alignment horizontal="left" vertical="top"/>
    </xf>
    <xf numFmtId="0" fontId="113" fillId="0" borderId="0" xfId="4" applyFont="1" applyBorder="1" applyAlignment="1">
      <alignment horizontal="center"/>
    </xf>
    <xf numFmtId="0" fontId="113" fillId="0" borderId="0" xfId="4" applyFont="1" applyBorder="1" applyAlignment="1">
      <alignment horizontal="right"/>
    </xf>
    <xf numFmtId="0" fontId="55" fillId="0" borderId="5" xfId="4" applyFont="1" applyBorder="1" applyAlignment="1">
      <alignment horizontal="left" vertical="top" wrapText="1"/>
    </xf>
    <xf numFmtId="0" fontId="55" fillId="0" borderId="7" xfId="4" applyFont="1" applyBorder="1" applyAlignment="1">
      <alignment horizontal="left" vertical="top" wrapText="1"/>
    </xf>
    <xf numFmtId="0" fontId="95" fillId="2" borderId="2" xfId="4" applyFont="1" applyFill="1" applyBorder="1" applyAlignment="1">
      <alignment horizontal="left" vertical="top" wrapText="1"/>
    </xf>
    <xf numFmtId="3" fontId="113" fillId="0" borderId="0" xfId="4" applyNumberFormat="1" applyFont="1" applyAlignment="1">
      <alignment horizontal="center" vertical="top"/>
    </xf>
    <xf numFmtId="3" fontId="113" fillId="0" borderId="0" xfId="4" applyNumberFormat="1" applyFont="1" applyAlignment="1">
      <alignment horizontal="right" vertical="top"/>
    </xf>
    <xf numFmtId="1" fontId="142" fillId="3" borderId="0" xfId="12" applyNumberFormat="1" applyFont="1" applyFill="1" applyBorder="1" applyAlignment="1">
      <alignment horizontal="center" vertical="top"/>
    </xf>
    <xf numFmtId="3" fontId="60" fillId="0" borderId="0" xfId="12" applyNumberFormat="1" applyFont="1" applyAlignment="1">
      <alignment horizontal="center" vertical="top"/>
    </xf>
    <xf numFmtId="0" fontId="113" fillId="0" borderId="0" xfId="4" applyFont="1" applyAlignment="1">
      <alignment horizontal="center"/>
    </xf>
    <xf numFmtId="0" fontId="113" fillId="0" borderId="0" xfId="4" applyFont="1" applyAlignment="1">
      <alignment horizontal="right"/>
    </xf>
    <xf numFmtId="0" fontId="68" fillId="0" borderId="2" xfId="4" applyFont="1" applyBorder="1" applyAlignment="1">
      <alignment horizontal="center" vertical="center" wrapText="1"/>
    </xf>
    <xf numFmtId="0" fontId="95" fillId="0" borderId="2" xfId="4" applyFont="1" applyBorder="1" applyAlignment="1">
      <alignment horizontal="center"/>
    </xf>
    <xf numFmtId="49" fontId="96" fillId="17" borderId="5" xfId="4" applyNumberFormat="1" applyFont="1" applyFill="1" applyBorder="1" applyAlignment="1" applyProtection="1">
      <alignment horizontal="center"/>
    </xf>
    <xf numFmtId="49" fontId="96" fillId="17" borderId="16" xfId="4" applyNumberFormat="1" applyFont="1" applyFill="1" applyBorder="1" applyAlignment="1" applyProtection="1">
      <alignment horizontal="center"/>
    </xf>
    <xf numFmtId="49" fontId="96" fillId="17" borderId="7" xfId="4" applyNumberFormat="1" applyFont="1" applyFill="1" applyBorder="1" applyAlignment="1" applyProtection="1">
      <alignment horizontal="center"/>
    </xf>
    <xf numFmtId="49" fontId="96" fillId="17" borderId="2" xfId="4" applyNumberFormat="1" applyFont="1" applyFill="1" applyBorder="1" applyAlignment="1" applyProtection="1">
      <alignment horizontal="center" vertical="center"/>
    </xf>
    <xf numFmtId="0" fontId="113" fillId="0" borderId="0" xfId="4" applyFont="1" applyAlignment="1">
      <alignment horizontal="left" wrapText="1"/>
    </xf>
    <xf numFmtId="0" fontId="143" fillId="3" borderId="0" xfId="4" applyNumberFormat="1" applyFont="1" applyFill="1" applyBorder="1" applyAlignment="1" applyProtection="1">
      <alignment horizontal="center" vertical="center" wrapText="1"/>
    </xf>
    <xf numFmtId="49" fontId="39" fillId="3" borderId="1" xfId="4" applyNumberFormat="1" applyFont="1" applyFill="1" applyBorder="1" applyAlignment="1">
      <alignment horizontal="center" vertical="top" wrapText="1"/>
    </xf>
    <xf numFmtId="49" fontId="39" fillId="3" borderId="3" xfId="4" applyNumberFormat="1" applyFont="1" applyFill="1" applyBorder="1" applyAlignment="1">
      <alignment horizontal="center" vertical="top" wrapText="1"/>
    </xf>
    <xf numFmtId="0" fontId="39" fillId="3" borderId="1" xfId="4" applyFont="1" applyFill="1" applyBorder="1" applyAlignment="1">
      <alignment horizontal="center" vertical="top" wrapText="1"/>
    </xf>
    <xf numFmtId="0" fontId="39" fillId="3" borderId="3" xfId="4" applyFont="1" applyFill="1" applyBorder="1" applyAlignment="1">
      <alignment horizontal="center" vertical="top" wrapText="1"/>
    </xf>
    <xf numFmtId="49" fontId="60" fillId="3" borderId="1" xfId="4" applyNumberFormat="1" applyFont="1" applyFill="1" applyBorder="1" applyAlignment="1" applyProtection="1">
      <alignment horizontal="center" vertical="center" wrapText="1"/>
    </xf>
    <xf numFmtId="49" fontId="60" fillId="3" borderId="4" xfId="4" applyNumberFormat="1" applyFont="1" applyFill="1" applyBorder="1" applyAlignment="1" applyProtection="1">
      <alignment horizontal="center" vertical="center" wrapText="1"/>
    </xf>
    <xf numFmtId="49" fontId="60" fillId="3" borderId="3" xfId="4" applyNumberFormat="1" applyFont="1" applyFill="1" applyBorder="1" applyAlignment="1" applyProtection="1">
      <alignment horizontal="center" vertical="center" wrapText="1"/>
    </xf>
    <xf numFmtId="49" fontId="95" fillId="3" borderId="1" xfId="4" applyNumberFormat="1" applyFont="1" applyFill="1" applyBorder="1" applyAlignment="1" applyProtection="1">
      <alignment horizontal="center" vertical="center" wrapText="1"/>
    </xf>
    <xf numFmtId="49" fontId="95" fillId="3" borderId="4" xfId="4" applyNumberFormat="1" applyFont="1" applyFill="1" applyBorder="1" applyAlignment="1" applyProtection="1">
      <alignment horizontal="center" vertical="center" wrapText="1"/>
    </xf>
    <xf numFmtId="49" fontId="95" fillId="3" borderId="3" xfId="4" applyNumberFormat="1" applyFont="1" applyFill="1" applyBorder="1" applyAlignment="1" applyProtection="1">
      <alignment horizontal="center" vertical="center" wrapText="1"/>
    </xf>
    <xf numFmtId="0" fontId="95" fillId="3" borderId="1" xfId="4" applyNumberFormat="1" applyFont="1" applyFill="1" applyBorder="1" applyAlignment="1" applyProtection="1">
      <alignment horizontal="left" vertical="center" wrapText="1"/>
    </xf>
    <xf numFmtId="0" fontId="95" fillId="3" borderId="4" xfId="4" applyNumberFormat="1" applyFont="1" applyFill="1" applyBorder="1" applyAlignment="1" applyProtection="1">
      <alignment horizontal="left" vertical="center" wrapText="1"/>
    </xf>
    <xf numFmtId="0" fontId="95" fillId="3" borderId="3" xfId="4" applyNumberFormat="1" applyFont="1" applyFill="1" applyBorder="1" applyAlignment="1" applyProtection="1">
      <alignment horizontal="left" vertical="center" wrapText="1"/>
    </xf>
    <xf numFmtId="0" fontId="113" fillId="3" borderId="0" xfId="4" applyFont="1" applyFill="1" applyAlignment="1">
      <alignment horizontal="left" vertical="center" wrapText="1"/>
    </xf>
    <xf numFmtId="0" fontId="113" fillId="3" borderId="0" xfId="4" applyFont="1" applyFill="1" applyAlignment="1">
      <alignment horizontal="center"/>
    </xf>
    <xf numFmtId="49" fontId="60" fillId="3" borderId="1" xfId="4" applyNumberFormat="1" applyFont="1" applyFill="1" applyBorder="1" applyAlignment="1">
      <alignment horizontal="center" vertical="center" wrapText="1"/>
    </xf>
    <xf numFmtId="49" fontId="60" fillId="3" borderId="4" xfId="4" applyNumberFormat="1" applyFont="1" applyFill="1" applyBorder="1" applyAlignment="1">
      <alignment horizontal="center" vertical="center" wrapText="1"/>
    </xf>
    <xf numFmtId="0" fontId="95" fillId="3" borderId="1" xfId="4" applyFont="1" applyFill="1" applyBorder="1" applyAlignment="1">
      <alignment horizontal="center" vertical="center" wrapText="1"/>
    </xf>
    <xf numFmtId="0" fontId="95" fillId="3" borderId="4" xfId="4" applyFont="1" applyFill="1" applyBorder="1" applyAlignment="1">
      <alignment horizontal="center" vertical="center" wrapText="1"/>
    </xf>
    <xf numFmtId="49" fontId="95" fillId="3" borderId="1" xfId="4" applyNumberFormat="1" applyFont="1" applyFill="1" applyBorder="1" applyAlignment="1">
      <alignment horizontal="center" vertical="center" wrapText="1"/>
    </xf>
    <xf numFmtId="49" fontId="95" fillId="3" borderId="4" xfId="4" applyNumberFormat="1" applyFont="1" applyFill="1" applyBorder="1" applyAlignment="1">
      <alignment horizontal="center" vertical="center" wrapText="1"/>
    </xf>
    <xf numFmtId="0" fontId="95" fillId="3" borderId="1" xfId="4" applyFont="1" applyFill="1" applyBorder="1" applyAlignment="1">
      <alignment horizontal="left" vertical="center" wrapText="1"/>
    </xf>
    <xf numFmtId="0" fontId="95" fillId="3" borderId="4" xfId="4" applyFont="1" applyFill="1" applyBorder="1" applyAlignment="1">
      <alignment horizontal="left" vertical="center" wrapText="1"/>
    </xf>
    <xf numFmtId="49" fontId="60" fillId="3" borderId="3" xfId="4" applyNumberFormat="1" applyFont="1" applyFill="1" applyBorder="1" applyAlignment="1">
      <alignment horizontal="center" vertical="center" wrapText="1"/>
    </xf>
    <xf numFmtId="0" fontId="95" fillId="3" borderId="3" xfId="4" applyFont="1" applyFill="1" applyBorder="1" applyAlignment="1">
      <alignment horizontal="center" vertical="center" wrapText="1"/>
    </xf>
    <xf numFmtId="49" fontId="95" fillId="3" borderId="3" xfId="4" applyNumberFormat="1" applyFont="1" applyFill="1" applyBorder="1" applyAlignment="1">
      <alignment horizontal="center" vertical="center" wrapText="1"/>
    </xf>
    <xf numFmtId="0" fontId="95" fillId="3" borderId="3" xfId="4" applyFont="1" applyFill="1" applyBorder="1" applyAlignment="1">
      <alignment horizontal="left" vertical="center" wrapText="1"/>
    </xf>
    <xf numFmtId="49" fontId="95" fillId="3" borderId="1" xfId="4" applyNumberFormat="1" applyFont="1" applyFill="1" applyBorder="1" applyAlignment="1">
      <alignment horizontal="left" vertical="center" wrapText="1"/>
    </xf>
    <xf numFmtId="49" fontId="95" fillId="3" borderId="4" xfId="4" applyNumberFormat="1" applyFont="1" applyFill="1" applyBorder="1" applyAlignment="1">
      <alignment horizontal="left" vertical="center" wrapText="1"/>
    </xf>
    <xf numFmtId="49" fontId="95" fillId="3" borderId="3" xfId="4" applyNumberFormat="1" applyFont="1" applyFill="1" applyBorder="1" applyAlignment="1">
      <alignment horizontal="left" vertical="center" wrapText="1"/>
    </xf>
    <xf numFmtId="49" fontId="60" fillId="3" borderId="2" xfId="4" applyNumberFormat="1" applyFont="1" applyFill="1" applyBorder="1" applyAlignment="1">
      <alignment horizontal="center" vertical="center" wrapText="1"/>
    </xf>
    <xf numFmtId="49" fontId="95" fillId="3" borderId="2" xfId="4" applyNumberFormat="1" applyFont="1" applyFill="1" applyBorder="1" applyAlignment="1">
      <alignment horizontal="center" vertical="center" wrapText="1"/>
    </xf>
    <xf numFmtId="0" fontId="98" fillId="3" borderId="2" xfId="4" applyFont="1" applyFill="1" applyBorder="1" applyAlignment="1">
      <alignment horizontal="left" vertical="center" wrapText="1"/>
    </xf>
    <xf numFmtId="49" fontId="95" fillId="3" borderId="2" xfId="4" applyNumberFormat="1" applyFont="1" applyFill="1" applyBorder="1" applyAlignment="1">
      <alignment horizontal="left" vertical="center" wrapText="1"/>
    </xf>
    <xf numFmtId="0" fontId="95" fillId="3" borderId="2" xfId="4" applyFont="1" applyFill="1" applyBorder="1" applyAlignment="1">
      <alignment horizontal="center" vertical="center" wrapText="1"/>
    </xf>
    <xf numFmtId="164" fontId="95" fillId="3" borderId="2" xfId="4" applyNumberFormat="1" applyFont="1" applyFill="1" applyBorder="1" applyAlignment="1">
      <alignment horizontal="left" vertical="center" wrapText="1"/>
    </xf>
    <xf numFmtId="164" fontId="95" fillId="3" borderId="2" xfId="4" applyNumberFormat="1" applyFont="1" applyFill="1" applyBorder="1" applyAlignment="1">
      <alignment horizontal="center" vertical="center" wrapText="1"/>
    </xf>
    <xf numFmtId="0" fontId="95" fillId="3" borderId="2" xfId="4" applyFont="1" applyFill="1" applyBorder="1" applyAlignment="1">
      <alignment horizontal="left" vertical="center" wrapText="1"/>
    </xf>
    <xf numFmtId="0" fontId="98" fillId="3" borderId="2" xfId="4" applyFont="1" applyFill="1" applyBorder="1" applyAlignment="1">
      <alignment horizontal="left" vertical="center"/>
    </xf>
    <xf numFmtId="0" fontId="55" fillId="3" borderId="2" xfId="4" applyFont="1" applyFill="1" applyBorder="1" applyAlignment="1">
      <alignment vertical="center"/>
    </xf>
    <xf numFmtId="0" fontId="95" fillId="3" borderId="1" xfId="4" applyFont="1" applyFill="1" applyBorder="1" applyAlignment="1">
      <alignment horizontal="left" vertical="center"/>
    </xf>
    <xf numFmtId="0" fontId="95" fillId="3" borderId="4" xfId="4" applyFont="1" applyFill="1" applyBorder="1" applyAlignment="1">
      <alignment horizontal="left" vertical="center"/>
    </xf>
    <xf numFmtId="0" fontId="95" fillId="3" borderId="3" xfId="4" applyFont="1" applyFill="1" applyBorder="1" applyAlignment="1">
      <alignment horizontal="left" vertical="center"/>
    </xf>
    <xf numFmtId="0" fontId="60" fillId="3" borderId="2" xfId="4" applyFont="1" applyFill="1" applyBorder="1" applyAlignment="1">
      <alignment horizontal="center" vertical="center" wrapText="1"/>
    </xf>
    <xf numFmtId="0" fontId="39" fillId="3" borderId="2" xfId="4" applyNumberFormat="1" applyFont="1" applyFill="1" applyBorder="1" applyAlignment="1" applyProtection="1">
      <alignment horizontal="center" vertical="center" wrapText="1"/>
    </xf>
    <xf numFmtId="169" fontId="95" fillId="3" borderId="0" xfId="2" applyNumberFormat="1" applyFont="1" applyFill="1" applyAlignment="1">
      <alignment horizontal="left" wrapText="1"/>
    </xf>
    <xf numFmtId="0" fontId="55" fillId="3" borderId="0" xfId="4" applyFont="1" applyFill="1" applyAlignment="1">
      <alignment horizontal="left" wrapText="1"/>
    </xf>
    <xf numFmtId="0" fontId="112" fillId="3" borderId="0" xfId="4" applyNumberFormat="1" applyFont="1" applyFill="1" applyBorder="1" applyAlignment="1" applyProtection="1">
      <alignment horizontal="center" vertical="center" wrapText="1"/>
    </xf>
    <xf numFmtId="0" fontId="113" fillId="3" borderId="0" xfId="4" applyNumberFormat="1" applyFont="1" applyFill="1" applyBorder="1" applyAlignment="1" applyProtection="1">
      <alignment horizontal="center" vertical="center" wrapText="1"/>
    </xf>
    <xf numFmtId="1" fontId="97" fillId="3" borderId="0" xfId="4" applyNumberFormat="1" applyFont="1" applyFill="1" applyAlignment="1" applyProtection="1">
      <alignment horizontal="center" vertical="center"/>
    </xf>
    <xf numFmtId="0" fontId="98" fillId="3" borderId="0" xfId="4" applyNumberFormat="1" applyFont="1" applyFill="1" applyAlignment="1" applyProtection="1">
      <alignment horizontal="center" vertical="center"/>
    </xf>
    <xf numFmtId="49" fontId="68" fillId="3" borderId="2" xfId="4" applyNumberFormat="1" applyFont="1" applyFill="1" applyBorder="1" applyAlignment="1" applyProtection="1">
      <alignment horizontal="center" vertical="center" wrapText="1"/>
    </xf>
    <xf numFmtId="0" fontId="68" fillId="3" borderId="2" xfId="4" applyNumberFormat="1" applyFont="1" applyFill="1" applyBorder="1" applyAlignment="1" applyProtection="1">
      <alignment horizontal="center" vertical="center" wrapText="1"/>
    </xf>
    <xf numFmtId="49" fontId="150" fillId="3" borderId="1" xfId="4" applyNumberFormat="1" applyFont="1" applyFill="1" applyBorder="1" applyAlignment="1">
      <alignment horizontal="center" vertical="center" shrinkToFit="1"/>
    </xf>
    <xf numFmtId="49" fontId="150" fillId="3" borderId="3" xfId="4" applyNumberFormat="1" applyFont="1" applyFill="1" applyBorder="1" applyAlignment="1">
      <alignment horizontal="center" vertical="center" shrinkToFit="1"/>
    </xf>
    <xf numFmtId="0" fontId="150" fillId="3" borderId="1" xfId="4" applyNumberFormat="1" applyFont="1" applyFill="1" applyBorder="1" applyAlignment="1">
      <alignment horizontal="center" vertical="center" wrapText="1"/>
    </xf>
    <xf numFmtId="0" fontId="150" fillId="3" borderId="3" xfId="4" applyNumberFormat="1" applyFont="1" applyFill="1" applyBorder="1" applyAlignment="1">
      <alignment horizontal="center" vertical="center" wrapText="1"/>
    </xf>
    <xf numFmtId="168" fontId="150" fillId="3" borderId="1" xfId="4" applyNumberFormat="1" applyFont="1" applyFill="1" applyBorder="1" applyAlignment="1">
      <alignment horizontal="left" vertical="center" wrapText="1" shrinkToFit="1"/>
    </xf>
    <xf numFmtId="168" fontId="150" fillId="3" borderId="3" xfId="4" applyNumberFormat="1" applyFont="1" applyFill="1" applyBorder="1" applyAlignment="1">
      <alignment horizontal="left" vertical="center" wrapText="1" shrinkToFit="1"/>
    </xf>
    <xf numFmtId="168" fontId="150" fillId="3" borderId="2" xfId="4" applyNumberFormat="1" applyFont="1" applyFill="1" applyBorder="1" applyAlignment="1">
      <alignment horizontal="left" vertical="center" wrapText="1" shrinkToFit="1"/>
    </xf>
    <xf numFmtId="168" fontId="150" fillId="3" borderId="0" xfId="4" applyNumberFormat="1" applyFont="1" applyFill="1" applyBorder="1" applyAlignment="1">
      <alignment horizontal="left" vertical="center" wrapText="1" shrinkToFit="1"/>
    </xf>
    <xf numFmtId="49" fontId="150" fillId="3" borderId="2" xfId="4" applyNumberFormat="1" applyFont="1" applyFill="1" applyBorder="1" applyAlignment="1">
      <alignment horizontal="center" vertical="center" shrinkToFit="1"/>
    </xf>
    <xf numFmtId="49" fontId="150" fillId="3" borderId="2" xfId="4" applyNumberFormat="1" applyFont="1" applyFill="1" applyBorder="1" applyAlignment="1">
      <alignment horizontal="left" vertical="center" wrapText="1"/>
    </xf>
    <xf numFmtId="0" fontId="150" fillId="3" borderId="2" xfId="4" applyNumberFormat="1" applyFont="1" applyFill="1" applyBorder="1" applyAlignment="1">
      <alignment horizontal="left" vertical="center" wrapText="1"/>
    </xf>
    <xf numFmtId="49" fontId="155" fillId="3" borderId="1" xfId="4" applyNumberFormat="1" applyFont="1" applyFill="1" applyBorder="1" applyAlignment="1">
      <alignment horizontal="center" vertical="center" shrinkToFit="1"/>
    </xf>
    <xf numFmtId="49" fontId="155" fillId="3" borderId="3" xfId="4" applyNumberFormat="1" applyFont="1" applyFill="1" applyBorder="1" applyAlignment="1">
      <alignment horizontal="center" vertical="center" shrinkToFit="1"/>
    </xf>
    <xf numFmtId="0" fontId="156" fillId="3" borderId="1" xfId="7" applyFont="1" applyFill="1" applyBorder="1" applyAlignment="1">
      <alignment horizontal="justify" vertical="center" wrapText="1"/>
    </xf>
    <xf numFmtId="0" fontId="156" fillId="3" borderId="3" xfId="7" applyFont="1" applyFill="1" applyBorder="1" applyAlignment="1">
      <alignment horizontal="justify" vertical="center" wrapText="1"/>
    </xf>
    <xf numFmtId="0" fontId="148" fillId="0" borderId="0" xfId="4" applyFont="1" applyFill="1" applyBorder="1" applyAlignment="1">
      <alignment horizontal="center" vertical="center" wrapText="1"/>
    </xf>
    <xf numFmtId="0" fontId="147" fillId="0" borderId="0" xfId="4" applyFont="1" applyFill="1" applyBorder="1" applyAlignment="1">
      <alignment horizontal="center"/>
    </xf>
    <xf numFmtId="49" fontId="150" fillId="3" borderId="1" xfId="4" applyNumberFormat="1" applyFont="1" applyFill="1" applyBorder="1" applyAlignment="1">
      <alignment horizontal="center" vertical="center" wrapText="1" shrinkToFit="1"/>
    </xf>
    <xf numFmtId="49" fontId="150" fillId="3" borderId="3" xfId="4" applyNumberFormat="1" applyFont="1" applyFill="1" applyBorder="1" applyAlignment="1">
      <alignment horizontal="center" vertical="center" wrapText="1" shrinkToFit="1"/>
    </xf>
    <xf numFmtId="0" fontId="151" fillId="3" borderId="2" xfId="4" applyNumberFormat="1" applyFont="1" applyFill="1" applyBorder="1" applyAlignment="1">
      <alignment horizontal="left" vertical="center" wrapText="1"/>
    </xf>
    <xf numFmtId="49" fontId="150" fillId="3" borderId="2" xfId="4" applyNumberFormat="1" applyFont="1" applyFill="1" applyBorder="1" applyAlignment="1">
      <alignment horizontal="justify" vertical="center" wrapText="1"/>
    </xf>
    <xf numFmtId="0" fontId="162" fillId="0" borderId="5" xfId="16" applyFont="1" applyBorder="1" applyAlignment="1">
      <alignment horizontal="center" vertical="center" wrapText="1" readingOrder="1"/>
    </xf>
    <xf numFmtId="0" fontId="162" fillId="0" borderId="16" xfId="16" applyFont="1" applyBorder="1" applyAlignment="1">
      <alignment horizontal="center" vertical="center" wrapText="1" readingOrder="1"/>
    </xf>
    <xf numFmtId="0" fontId="162" fillId="0" borderId="7" xfId="16" applyFont="1" applyBorder="1" applyAlignment="1">
      <alignment horizontal="center" vertical="center" wrapText="1" readingOrder="1"/>
    </xf>
    <xf numFmtId="0" fontId="104" fillId="11" borderId="2" xfId="14" applyFont="1" applyFill="1" applyBorder="1" applyAlignment="1">
      <alignment horizontal="center" vertical="center" wrapText="1" readingOrder="1"/>
    </xf>
    <xf numFmtId="0" fontId="105" fillId="0" borderId="0" xfId="14" applyFont="1" applyAlignment="1">
      <alignment horizontal="left" wrapText="1"/>
    </xf>
    <xf numFmtId="0" fontId="105" fillId="0" borderId="0" xfId="14" applyFont="1" applyAlignment="1">
      <alignment horizontal="left"/>
    </xf>
    <xf numFmtId="0" fontId="113" fillId="0" borderId="0" xfId="15" applyFont="1" applyAlignment="1">
      <alignment horizontal="center"/>
    </xf>
    <xf numFmtId="0" fontId="113" fillId="0" borderId="0" xfId="15" applyFont="1" applyBorder="1" applyAlignment="1">
      <alignment horizontal="center" vertical="center" wrapText="1"/>
    </xf>
    <xf numFmtId="1" fontId="97" fillId="0" borderId="0" xfId="16" applyNumberFormat="1" applyFont="1" applyFill="1" applyAlignment="1" applyProtection="1">
      <alignment horizontal="left" vertical="center"/>
    </xf>
    <xf numFmtId="0" fontId="98" fillId="0" borderId="15" xfId="16" applyNumberFormat="1" applyFont="1" applyFill="1" applyBorder="1" applyAlignment="1" applyProtection="1">
      <alignment horizontal="left" vertical="top"/>
    </xf>
    <xf numFmtId="0" fontId="104" fillId="0" borderId="2" xfId="14" applyFont="1" applyBorder="1" applyAlignment="1">
      <alignment horizontal="center" vertical="center" wrapText="1" readingOrder="1"/>
    </xf>
    <xf numFmtId="0" fontId="104" fillId="0" borderId="1" xfId="14" applyFont="1" applyBorder="1" applyAlignment="1">
      <alignment horizontal="center" vertical="center" wrapText="1" readingOrder="1"/>
    </xf>
    <xf numFmtId="0" fontId="162" fillId="0" borderId="17" xfId="16" applyFont="1" applyBorder="1" applyAlignment="1">
      <alignment horizontal="center" vertical="center" wrapText="1"/>
    </xf>
    <xf numFmtId="0" fontId="162" fillId="0" borderId="18" xfId="16" applyFont="1" applyBorder="1" applyAlignment="1">
      <alignment horizontal="center" vertical="center" wrapText="1"/>
    </xf>
    <xf numFmtId="0" fontId="163" fillId="0" borderId="2" xfId="16" applyFont="1" applyBorder="1" applyAlignment="1">
      <alignment horizontal="center" vertical="center" wrapText="1"/>
    </xf>
    <xf numFmtId="0" fontId="169" fillId="3" borderId="2" xfId="4" applyFont="1" applyFill="1" applyBorder="1" applyAlignment="1">
      <alignment horizontal="center" wrapText="1"/>
    </xf>
    <xf numFmtId="0" fontId="55" fillId="3" borderId="0" xfId="4" applyFont="1" applyFill="1" applyAlignment="1">
      <alignment horizontal="left"/>
    </xf>
    <xf numFmtId="0" fontId="55" fillId="2" borderId="0" xfId="4" applyFont="1" applyFill="1" applyAlignment="1">
      <alignment horizontal="left" wrapText="1"/>
    </xf>
    <xf numFmtId="0" fontId="55" fillId="2" borderId="0" xfId="4" applyFont="1" applyFill="1" applyAlignment="1">
      <alignment horizontal="left"/>
    </xf>
    <xf numFmtId="0" fontId="60" fillId="0" borderId="0" xfId="4" applyFont="1" applyFill="1" applyAlignment="1">
      <alignment horizontal="center" wrapText="1"/>
    </xf>
    <xf numFmtId="1" fontId="168" fillId="0" borderId="0" xfId="4" applyNumberFormat="1" applyFont="1" applyFill="1" applyAlignment="1" applyProtection="1">
      <alignment horizontal="left" vertical="center"/>
    </xf>
    <xf numFmtId="0" fontId="95" fillId="0" borderId="0" xfId="4" applyNumberFormat="1" applyFont="1" applyFill="1" applyAlignment="1" applyProtection="1">
      <alignment horizontal="left" vertical="top"/>
    </xf>
    <xf numFmtId="0" fontId="104" fillId="0" borderId="2" xfId="4" applyFont="1" applyFill="1" applyBorder="1" applyAlignment="1">
      <alignment horizontal="center" vertical="center"/>
    </xf>
    <xf numFmtId="0" fontId="69" fillId="0" borderId="2" xfId="4" applyBorder="1" applyAlignment="1">
      <alignment horizontal="center" vertical="center"/>
    </xf>
    <xf numFmtId="0" fontId="65" fillId="0" borderId="2" xfId="4" applyFont="1" applyFill="1" applyBorder="1" applyAlignment="1">
      <alignment horizontal="center" vertical="center" readingOrder="1"/>
    </xf>
    <xf numFmtId="0" fontId="69" fillId="0" borderId="2" xfId="4" applyBorder="1" applyAlignment="1">
      <alignment horizontal="center" vertical="center" readingOrder="1"/>
    </xf>
    <xf numFmtId="0" fontId="65" fillId="0" borderId="2" xfId="4" applyFont="1" applyFill="1" applyBorder="1" applyAlignment="1">
      <alignment horizontal="center" vertical="center" wrapText="1" readingOrder="1"/>
    </xf>
    <xf numFmtId="0" fontId="69" fillId="0" borderId="2" xfId="4" applyBorder="1" applyAlignment="1">
      <alignment horizontal="center" vertical="center" wrapText="1" readingOrder="1"/>
    </xf>
    <xf numFmtId="0" fontId="39" fillId="0" borderId="2" xfId="2" applyFont="1" applyBorder="1" applyAlignment="1">
      <alignment horizontal="center" vertical="center" wrapText="1"/>
    </xf>
    <xf numFmtId="0" fontId="113" fillId="0" borderId="5" xfId="15" applyFont="1" applyBorder="1" applyAlignment="1">
      <alignment horizontal="center" vertical="center" wrapText="1"/>
    </xf>
    <xf numFmtId="0" fontId="113" fillId="0" borderId="16" xfId="15" applyFont="1" applyBorder="1" applyAlignment="1">
      <alignment horizontal="center" vertical="center" wrapText="1"/>
    </xf>
    <xf numFmtId="0" fontId="113" fillId="0" borderId="7" xfId="15" applyFont="1" applyBorder="1" applyAlignment="1">
      <alignment horizontal="center" vertical="center" wrapText="1"/>
    </xf>
    <xf numFmtId="0" fontId="96" fillId="0" borderId="0" xfId="15" applyFont="1" applyAlignment="1">
      <alignment horizontal="left" wrapText="1"/>
    </xf>
    <xf numFmtId="0" fontId="96" fillId="0" borderId="0" xfId="15" applyFont="1" applyAlignment="1">
      <alignment horizontal="left"/>
    </xf>
    <xf numFmtId="0" fontId="96" fillId="0" borderId="0" xfId="15" applyFont="1" applyAlignment="1">
      <alignment horizontal="center"/>
    </xf>
    <xf numFmtId="0" fontId="98" fillId="0" borderId="0" xfId="15" applyFont="1" applyAlignment="1">
      <alignment horizontal="left" vertical="center" wrapText="1"/>
    </xf>
    <xf numFmtId="0" fontId="96" fillId="0" borderId="0" xfId="15" applyFont="1" applyAlignment="1">
      <alignment horizontal="center" wrapText="1"/>
    </xf>
    <xf numFmtId="1" fontId="97" fillId="0" borderId="0" xfId="4" applyNumberFormat="1" applyFont="1" applyFill="1" applyAlignment="1" applyProtection="1">
      <alignment horizontal="left" vertical="center"/>
    </xf>
    <xf numFmtId="0" fontId="98" fillId="0" borderId="0" xfId="4" applyNumberFormat="1" applyFont="1" applyFill="1" applyAlignment="1" applyProtection="1">
      <alignment horizontal="left" vertical="top"/>
    </xf>
    <xf numFmtId="0" fontId="113" fillId="0" borderId="2" xfId="15" applyFont="1" applyBorder="1" applyAlignment="1">
      <alignment horizontal="center" vertical="center"/>
    </xf>
    <xf numFmtId="0" fontId="3" fillId="3" borderId="0" xfId="0" applyFont="1" applyFill="1" applyAlignment="1">
      <alignment horizontal="left" wrapText="1"/>
    </xf>
    <xf numFmtId="0" fontId="6" fillId="0" borderId="0" xfId="0" applyFont="1" applyAlignment="1">
      <alignment horizontal="center" wrapText="1"/>
    </xf>
    <xf numFmtId="0" fontId="6" fillId="2" borderId="0" xfId="0" applyFont="1" applyFill="1" applyAlignment="1">
      <alignment horizontal="center" wrapText="1"/>
    </xf>
    <xf numFmtId="0" fontId="53" fillId="2" borderId="0" xfId="0" applyFont="1" applyFill="1" applyAlignment="1">
      <alignment horizontal="center" wrapText="1"/>
    </xf>
    <xf numFmtId="0" fontId="7" fillId="3" borderId="0" xfId="0" applyFont="1" applyFill="1" applyAlignment="1">
      <alignment horizontal="center" wrapText="1"/>
    </xf>
    <xf numFmtId="0" fontId="54" fillId="3" borderId="0" xfId="0" applyFont="1" applyFill="1" applyAlignment="1">
      <alignment horizontal="center" wrapText="1"/>
    </xf>
    <xf numFmtId="164" fontId="6" fillId="3" borderId="0" xfId="0" applyNumberFormat="1" applyFont="1" applyFill="1" applyAlignment="1">
      <alignment horizontal="center" wrapText="1"/>
    </xf>
    <xf numFmtId="0" fontId="6" fillId="3" borderId="0" xfId="0" applyFont="1" applyFill="1" applyAlignment="1">
      <alignment horizontal="center" wrapText="1"/>
    </xf>
    <xf numFmtId="49" fontId="10" fillId="0" borderId="2"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0" fontId="8" fillId="0" borderId="2" xfId="0" applyFont="1" applyBorder="1" applyAlignment="1">
      <alignment vertical="center"/>
    </xf>
    <xf numFmtId="9" fontId="4" fillId="3" borderId="2" xfId="0" applyNumberFormat="1" applyFont="1" applyFill="1" applyBorder="1" applyAlignment="1">
      <alignment horizontal="center" vertical="center" wrapText="1"/>
    </xf>
    <xf numFmtId="9" fontId="4" fillId="2" borderId="5" xfId="0"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164" fontId="4" fillId="3" borderId="2" xfId="0" applyNumberFormat="1" applyFont="1" applyFill="1" applyBorder="1" applyAlignment="1" applyProtection="1">
      <alignment horizontal="center" vertical="center" wrapText="1"/>
      <protection hidden="1"/>
    </xf>
    <xf numFmtId="49" fontId="4" fillId="3" borderId="2" xfId="0" applyNumberFormat="1" applyFont="1" applyFill="1" applyBorder="1" applyAlignment="1" applyProtection="1">
      <alignment horizontal="center" vertical="center" wrapText="1"/>
      <protection hidden="1"/>
    </xf>
    <xf numFmtId="0" fontId="5" fillId="3" borderId="2" xfId="0" applyFont="1" applyFill="1" applyBorder="1" applyAlignment="1">
      <alignment horizontal="center" vertical="center" wrapText="1"/>
    </xf>
    <xf numFmtId="0" fontId="180" fillId="0" borderId="2" xfId="18" applyFont="1" applyFill="1" applyBorder="1" applyAlignment="1">
      <alignment horizontal="center"/>
    </xf>
    <xf numFmtId="165" fontId="180" fillId="0" borderId="2" xfId="18" applyNumberFormat="1" applyFont="1" applyFill="1" applyBorder="1" applyAlignment="1">
      <alignment horizontal="center" vertical="center"/>
    </xf>
    <xf numFmtId="0" fontId="55" fillId="0" borderId="0" xfId="18" applyFont="1" applyFill="1" applyAlignment="1">
      <alignment horizontal="left" wrapText="1"/>
    </xf>
    <xf numFmtId="0" fontId="55" fillId="0" borderId="0" xfId="18" applyFont="1" applyFill="1" applyAlignment="1">
      <alignment horizontal="left"/>
    </xf>
    <xf numFmtId="0" fontId="179" fillId="0" borderId="0" xfId="18" applyFont="1" applyFill="1" applyAlignment="1">
      <alignment horizontal="center" wrapText="1"/>
    </xf>
    <xf numFmtId="0" fontId="109" fillId="0" borderId="2" xfId="18" applyFont="1" applyFill="1" applyBorder="1" applyAlignment="1">
      <alignment horizontal="center" vertical="center"/>
    </xf>
    <xf numFmtId="0" fontId="109" fillId="0" borderId="1" xfId="18" applyFont="1" applyFill="1" applyBorder="1" applyAlignment="1">
      <alignment horizontal="center" vertical="center"/>
    </xf>
    <xf numFmtId="0" fontId="109" fillId="0" borderId="3" xfId="18" applyFont="1" applyFill="1" applyBorder="1" applyAlignment="1">
      <alignment horizontal="center" vertical="center"/>
    </xf>
    <xf numFmtId="0" fontId="109" fillId="3" borderId="1" xfId="18" applyFont="1" applyFill="1" applyBorder="1" applyAlignment="1">
      <alignment horizontal="center" vertical="center" wrapText="1"/>
    </xf>
    <xf numFmtId="0" fontId="109" fillId="3" borderId="3" xfId="18" applyFont="1" applyFill="1" applyBorder="1" applyAlignment="1">
      <alignment horizontal="center" vertical="center" wrapText="1"/>
    </xf>
    <xf numFmtId="0" fontId="109" fillId="0" borderId="2" xfId="18" applyFont="1" applyFill="1" applyBorder="1" applyAlignment="1">
      <alignment horizontal="center" vertical="center" wrapText="1"/>
    </xf>
    <xf numFmtId="0" fontId="70" fillId="0" borderId="0" xfId="0" applyFont="1" applyFill="1"/>
    <xf numFmtId="0" fontId="5" fillId="0" borderId="0" xfId="0" applyFont="1" applyFill="1" applyAlignment="1">
      <alignment wrapText="1"/>
    </xf>
    <xf numFmtId="0" fontId="2" fillId="0" borderId="0" xfId="0" applyFont="1" applyFill="1" applyAlignment="1">
      <alignment horizontal="right" wrapText="1"/>
    </xf>
    <xf numFmtId="0" fontId="2" fillId="0" borderId="0" xfId="0" applyFont="1" applyFill="1"/>
    <xf numFmtId="0" fontId="196" fillId="0" borderId="0" xfId="0" applyFont="1" applyFill="1" applyAlignment="1">
      <alignment horizontal="left" wrapText="1"/>
    </xf>
    <xf numFmtId="0" fontId="196" fillId="0" borderId="0" xfId="0" applyFont="1" applyFill="1" applyAlignment="1">
      <alignment horizontal="left" wrapText="1"/>
    </xf>
    <xf numFmtId="49" fontId="197" fillId="0" borderId="0" xfId="0" applyNumberFormat="1" applyFont="1" applyFill="1" applyAlignment="1">
      <alignment horizontal="center" vertical="center" wrapText="1"/>
    </xf>
    <xf numFmtId="0" fontId="55" fillId="0" borderId="0" xfId="0" applyFont="1" applyFill="1"/>
    <xf numFmtId="49" fontId="198" fillId="0" borderId="0" xfId="0" applyNumberFormat="1" applyFont="1" applyFill="1" applyAlignment="1">
      <alignment horizontal="center" vertical="center" wrapText="1"/>
    </xf>
    <xf numFmtId="164" fontId="55" fillId="0" borderId="0" xfId="0" applyNumberFormat="1" applyFont="1" applyFill="1"/>
    <xf numFmtId="164" fontId="55" fillId="0" borderId="0" xfId="0" applyNumberFormat="1" applyFont="1" applyFill="1" applyAlignment="1">
      <alignment horizontal="right"/>
    </xf>
    <xf numFmtId="49" fontId="51"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164" fontId="51" fillId="0" borderId="2" xfId="0" applyNumberFormat="1" applyFont="1" applyFill="1" applyBorder="1" applyAlignment="1">
      <alignment horizontal="center" vertical="center" wrapText="1"/>
    </xf>
    <xf numFmtId="164" fontId="51" fillId="0" borderId="1" xfId="0" applyNumberFormat="1" applyFont="1" applyFill="1" applyBorder="1" applyAlignment="1">
      <alignment horizontal="center" vertical="center" wrapText="1"/>
    </xf>
    <xf numFmtId="164" fontId="51" fillId="0" borderId="3" xfId="0" applyNumberFormat="1" applyFont="1" applyFill="1" applyBorder="1" applyAlignment="1">
      <alignment horizontal="center" vertical="center" wrapText="1"/>
    </xf>
    <xf numFmtId="49" fontId="199" fillId="2" borderId="2" xfId="0" applyNumberFormat="1" applyFont="1" applyFill="1" applyBorder="1" applyAlignment="1">
      <alignment horizontal="center"/>
    </xf>
    <xf numFmtId="0" fontId="200" fillId="0" borderId="0" xfId="0" applyFont="1" applyFill="1"/>
    <xf numFmtId="49" fontId="116" fillId="0" borderId="2" xfId="0" applyNumberFormat="1" applyFont="1" applyFill="1" applyBorder="1" applyAlignment="1">
      <alignment horizontal="left" vertical="center"/>
    </xf>
    <xf numFmtId="164" fontId="116" fillId="0" borderId="2" xfId="0" applyNumberFormat="1" applyFont="1" applyFill="1" applyBorder="1" applyAlignment="1" applyProtection="1">
      <alignment horizontal="center"/>
      <protection locked="0"/>
    </xf>
    <xf numFmtId="164" fontId="201" fillId="0" borderId="2" xfId="0" applyNumberFormat="1" applyFont="1" applyFill="1" applyBorder="1" applyAlignment="1" applyProtection="1">
      <alignment horizontal="center"/>
      <protection locked="0"/>
    </xf>
    <xf numFmtId="164" fontId="116" fillId="0" borderId="2" xfId="0" applyNumberFormat="1" applyFont="1" applyFill="1" applyBorder="1" applyAlignment="1">
      <alignment horizontal="center"/>
    </xf>
    <xf numFmtId="166" fontId="116" fillId="0" borderId="0" xfId="0" applyNumberFormat="1" applyFont="1" applyFill="1"/>
    <xf numFmtId="164" fontId="116" fillId="0" borderId="0" xfId="0" applyNumberFormat="1" applyFont="1" applyFill="1"/>
    <xf numFmtId="0" fontId="116" fillId="0" borderId="0" xfId="0" applyFont="1" applyFill="1"/>
    <xf numFmtId="49" fontId="116" fillId="0" borderId="2" xfId="0" applyNumberFormat="1" applyFont="1" applyFill="1" applyBorder="1" applyAlignment="1">
      <alignment horizontal="left" vertical="center" wrapText="1"/>
    </xf>
    <xf numFmtId="2" fontId="173" fillId="4" borderId="2" xfId="0" applyNumberFormat="1" applyFont="1" applyFill="1" applyBorder="1" applyAlignment="1">
      <alignment horizontal="center" vertical="center" wrapText="1"/>
    </xf>
    <xf numFmtId="164" fontId="173" fillId="4" borderId="2" xfId="0" applyNumberFormat="1" applyFont="1" applyFill="1" applyBorder="1" applyAlignment="1" applyProtection="1">
      <alignment horizontal="center" vertical="center"/>
      <protection locked="0"/>
    </xf>
    <xf numFmtId="2" fontId="173" fillId="3" borderId="2" xfId="0" applyNumberFormat="1" applyFont="1" applyFill="1" applyBorder="1" applyAlignment="1">
      <alignment horizontal="center" vertical="center" wrapText="1"/>
    </xf>
    <xf numFmtId="164" fontId="173" fillId="3" borderId="2" xfId="0" applyNumberFormat="1" applyFont="1" applyFill="1" applyBorder="1" applyAlignment="1" applyProtection="1">
      <alignment horizontal="center" vertical="center"/>
      <protection locked="0"/>
    </xf>
    <xf numFmtId="166" fontId="116" fillId="3" borderId="0" xfId="0" applyNumberFormat="1" applyFont="1" applyFill="1"/>
    <xf numFmtId="0" fontId="116" fillId="3" borderId="0" xfId="0" applyFont="1" applyFill="1"/>
    <xf numFmtId="49" fontId="199" fillId="2" borderId="2" xfId="0" applyNumberFormat="1" applyFont="1" applyFill="1" applyBorder="1" applyAlignment="1">
      <alignment horizontal="center" wrapText="1"/>
    </xf>
    <xf numFmtId="164" fontId="116" fillId="0" borderId="2" xfId="0" applyNumberFormat="1" applyFont="1" applyFill="1" applyBorder="1" applyAlignment="1" applyProtection="1">
      <alignment horizontal="center" vertical="center"/>
      <protection locked="0"/>
    </xf>
    <xf numFmtId="49" fontId="175" fillId="0" borderId="2" xfId="0" applyNumberFormat="1" applyFont="1" applyFill="1" applyBorder="1" applyAlignment="1">
      <alignment horizontal="left" vertical="center" wrapText="1"/>
    </xf>
    <xf numFmtId="164" fontId="175" fillId="0" borderId="2" xfId="0" applyNumberFormat="1" applyFont="1" applyFill="1" applyBorder="1" applyAlignment="1" applyProtection="1">
      <alignment horizontal="center" vertical="center"/>
      <protection locked="0"/>
    </xf>
    <xf numFmtId="164" fontId="175" fillId="0" borderId="2" xfId="0" applyNumberFormat="1" applyFont="1" applyFill="1" applyBorder="1" applyAlignment="1">
      <alignment horizontal="center"/>
    </xf>
    <xf numFmtId="164" fontId="116" fillId="0" borderId="2" xfId="0" applyNumberFormat="1" applyFont="1" applyFill="1" applyBorder="1" applyAlignment="1">
      <alignment horizontal="center" vertical="center"/>
    </xf>
    <xf numFmtId="164" fontId="116" fillId="11" borderId="2" xfId="0" applyNumberFormat="1" applyFont="1" applyFill="1" applyBorder="1" applyAlignment="1" applyProtection="1">
      <alignment horizontal="center" vertical="center"/>
      <protection locked="0"/>
    </xf>
    <xf numFmtId="164" fontId="116" fillId="3" borderId="2" xfId="0" applyNumberFormat="1" applyFont="1" applyFill="1" applyBorder="1" applyAlignment="1" applyProtection="1">
      <alignment horizontal="center" vertical="center"/>
      <protection locked="0"/>
    </xf>
    <xf numFmtId="0" fontId="116" fillId="0" borderId="2" xfId="0" applyFont="1" applyFill="1" applyBorder="1" applyAlignment="1">
      <alignment vertical="center"/>
    </xf>
    <xf numFmtId="164" fontId="156" fillId="0" borderId="2" xfId="0" applyNumberFormat="1" applyFont="1" applyFill="1" applyBorder="1" applyAlignment="1" applyProtection="1">
      <alignment horizontal="center" vertical="center"/>
      <protection locked="0"/>
    </xf>
    <xf numFmtId="0" fontId="116" fillId="0" borderId="2" xfId="0" applyFont="1" applyFill="1" applyBorder="1" applyAlignment="1">
      <alignment horizontal="left" vertical="center" wrapText="1"/>
    </xf>
    <xf numFmtId="0" fontId="175" fillId="0" borderId="0" xfId="0" applyFont="1" applyFill="1"/>
    <xf numFmtId="0" fontId="116" fillId="3" borderId="2" xfId="0" applyFont="1" applyFill="1" applyBorder="1" applyAlignment="1">
      <alignment vertical="center"/>
    </xf>
    <xf numFmtId="164" fontId="156" fillId="3" borderId="2" xfId="0" applyNumberFormat="1" applyFont="1" applyFill="1" applyBorder="1" applyAlignment="1" applyProtection="1">
      <alignment horizontal="center" vertical="center"/>
      <protection locked="0"/>
    </xf>
    <xf numFmtId="164" fontId="116" fillId="3" borderId="2" xfId="0" applyNumberFormat="1" applyFont="1" applyFill="1" applyBorder="1" applyAlignment="1">
      <alignment horizontal="center" vertical="center"/>
    </xf>
    <xf numFmtId="4" fontId="116" fillId="3" borderId="2" xfId="0" applyNumberFormat="1" applyFont="1" applyFill="1" applyBorder="1" applyAlignment="1">
      <alignment vertical="center" wrapText="1"/>
    </xf>
    <xf numFmtId="164" fontId="201" fillId="3" borderId="2" xfId="0" applyNumberFormat="1" applyFont="1" applyFill="1" applyBorder="1" applyAlignment="1" applyProtection="1">
      <alignment horizontal="center" vertical="center"/>
      <protection locked="0"/>
    </xf>
    <xf numFmtId="49" fontId="116" fillId="3" borderId="2" xfId="0" applyNumberFormat="1" applyFont="1" applyFill="1" applyBorder="1" applyAlignment="1">
      <alignment horizontal="left" vertical="center" wrapText="1"/>
    </xf>
    <xf numFmtId="164" fontId="156" fillId="3" borderId="2" xfId="0" applyNumberFormat="1" applyFont="1" applyFill="1" applyBorder="1" applyAlignment="1" applyProtection="1">
      <alignment horizontal="center" vertical="center"/>
    </xf>
    <xf numFmtId="164" fontId="116" fillId="3" borderId="2" xfId="0" applyNumberFormat="1" applyFont="1" applyFill="1" applyBorder="1" applyAlignment="1" applyProtection="1">
      <alignment horizontal="center" vertical="center"/>
    </xf>
    <xf numFmtId="0" fontId="116" fillId="0" borderId="0" xfId="0" applyFont="1" applyFill="1" applyAlignment="1">
      <alignment horizontal="center"/>
    </xf>
    <xf numFmtId="49" fontId="116" fillId="3" borderId="2" xfId="0" applyNumberFormat="1" applyFont="1" applyFill="1" applyBorder="1" applyAlignment="1">
      <alignment vertical="center" wrapText="1"/>
    </xf>
    <xf numFmtId="2" fontId="116" fillId="3" borderId="2" xfId="0" applyNumberFormat="1" applyFont="1" applyFill="1" applyBorder="1" applyAlignment="1">
      <alignment horizontal="left" vertical="center" wrapText="1"/>
    </xf>
    <xf numFmtId="2" fontId="116" fillId="0" borderId="2" xfId="0" applyNumberFormat="1" applyFont="1" applyFill="1" applyBorder="1" applyAlignment="1">
      <alignment horizontal="left" vertical="center" wrapText="1"/>
    </xf>
    <xf numFmtId="0" fontId="116" fillId="0" borderId="2" xfId="0" applyFont="1" applyFill="1" applyBorder="1" applyAlignment="1">
      <alignment vertical="center" wrapText="1"/>
    </xf>
    <xf numFmtId="49" fontId="116" fillId="0" borderId="2" xfId="0" applyNumberFormat="1" applyFont="1" applyFill="1" applyBorder="1" applyAlignment="1">
      <alignment vertical="center" wrapText="1"/>
    </xf>
    <xf numFmtId="0" fontId="116" fillId="3" borderId="2" xfId="0" applyFont="1" applyFill="1" applyBorder="1" applyAlignment="1">
      <alignment vertical="center" wrapText="1"/>
    </xf>
    <xf numFmtId="164" fontId="116" fillId="3" borderId="2" xfId="0" applyNumberFormat="1" applyFont="1" applyFill="1" applyBorder="1" applyAlignment="1">
      <alignment horizontal="center"/>
    </xf>
    <xf numFmtId="0" fontId="175" fillId="3" borderId="2" xfId="0" applyFont="1" applyFill="1" applyBorder="1" applyAlignment="1">
      <alignment vertical="center" wrapText="1"/>
    </xf>
    <xf numFmtId="164" fontId="175" fillId="3" borderId="2" xfId="0" applyNumberFormat="1" applyFont="1" applyFill="1" applyBorder="1" applyAlignment="1">
      <alignment horizontal="center" vertical="center"/>
    </xf>
    <xf numFmtId="164" fontId="175" fillId="3" borderId="2" xfId="0" applyNumberFormat="1" applyFont="1" applyFill="1" applyBorder="1" applyAlignment="1">
      <alignment horizontal="center"/>
    </xf>
    <xf numFmtId="164" fontId="175" fillId="0" borderId="0" xfId="0" applyNumberFormat="1" applyFont="1" applyFill="1"/>
    <xf numFmtId="164" fontId="116" fillId="0" borderId="2" xfId="0" applyNumberFormat="1" applyFont="1" applyFill="1" applyBorder="1" applyAlignment="1" applyProtection="1">
      <alignment vertical="center"/>
      <protection locked="0"/>
    </xf>
    <xf numFmtId="0" fontId="175" fillId="0" borderId="2" xfId="0" applyFont="1" applyFill="1" applyBorder="1" applyAlignment="1">
      <alignment vertical="center" wrapText="1"/>
    </xf>
    <xf numFmtId="164" fontId="175" fillId="0" borderId="2" xfId="0" applyNumberFormat="1" applyFont="1" applyFill="1" applyBorder="1" applyAlignment="1">
      <alignment horizontal="center" vertical="center"/>
    </xf>
    <xf numFmtId="49" fontId="113" fillId="0" borderId="2" xfId="0" applyNumberFormat="1" applyFont="1" applyFill="1" applyBorder="1" applyAlignment="1">
      <alignment horizontal="left" vertical="center" wrapText="1"/>
    </xf>
    <xf numFmtId="164" fontId="113" fillId="11" borderId="2" xfId="0" applyNumberFormat="1" applyFont="1" applyFill="1" applyBorder="1" applyAlignment="1" applyProtection="1">
      <alignment horizontal="center" vertical="center"/>
      <protection locked="0"/>
    </xf>
    <xf numFmtId="2" fontId="173" fillId="23" borderId="2" xfId="0" applyNumberFormat="1" applyFont="1" applyFill="1" applyBorder="1" applyAlignment="1">
      <alignment horizontal="center" vertical="center" wrapText="1"/>
    </xf>
    <xf numFmtId="164" fontId="173" fillId="23" borderId="2" xfId="0" applyNumberFormat="1" applyFont="1" applyFill="1" applyBorder="1" applyAlignment="1" applyProtection="1">
      <alignment horizontal="center" vertical="center"/>
    </xf>
    <xf numFmtId="164" fontId="173" fillId="4" borderId="2" xfId="0" applyNumberFormat="1" applyFont="1" applyFill="1" applyBorder="1" applyAlignment="1" applyProtection="1">
      <alignment horizontal="center" vertical="center"/>
    </xf>
    <xf numFmtId="164" fontId="51" fillId="0" borderId="0" xfId="0" applyNumberFormat="1" applyFont="1" applyFill="1" applyBorder="1" applyAlignment="1" applyProtection="1">
      <alignment horizontal="right"/>
      <protection locked="0"/>
    </xf>
    <xf numFmtId="0" fontId="196" fillId="0" borderId="0" xfId="0" applyFont="1" applyBorder="1" applyAlignment="1"/>
    <xf numFmtId="164" fontId="55" fillId="0" borderId="0" xfId="0" applyNumberFormat="1" applyFont="1" applyFill="1" applyAlignment="1">
      <alignment horizontal="center"/>
    </xf>
    <xf numFmtId="0" fontId="125" fillId="0" borderId="0" xfId="0" applyFont="1" applyFill="1" applyAlignment="1">
      <alignment horizontal="left" vertical="center" wrapText="1"/>
    </xf>
    <xf numFmtId="0" fontId="125" fillId="0" borderId="0" xfId="0" applyFont="1" applyFill="1" applyAlignment="1">
      <alignment horizontal="center"/>
    </xf>
    <xf numFmtId="0" fontId="125" fillId="0" borderId="0" xfId="0" applyFont="1" applyFill="1"/>
    <xf numFmtId="0" fontId="98" fillId="0" borderId="0" xfId="0" applyFont="1" applyFill="1" applyAlignment="1">
      <alignment horizontal="center" vertical="center"/>
    </xf>
    <xf numFmtId="164" fontId="95" fillId="0" borderId="0" xfId="0" applyNumberFormat="1" applyFont="1" applyFill="1" applyAlignment="1">
      <alignment horizontal="center"/>
    </xf>
    <xf numFmtId="164" fontId="202" fillId="3" borderId="0" xfId="0" applyNumberFormat="1" applyFont="1" applyFill="1" applyAlignment="1">
      <alignment horizontal="center"/>
    </xf>
    <xf numFmtId="0" fontId="95" fillId="0" borderId="0" xfId="0" applyFont="1" applyFill="1"/>
    <xf numFmtId="0" fontId="113" fillId="0" borderId="0" xfId="0" applyFont="1" applyFill="1" applyAlignment="1">
      <alignment vertical="center"/>
    </xf>
    <xf numFmtId="0" fontId="113" fillId="0" borderId="0" xfId="0" applyFont="1" applyFill="1"/>
    <xf numFmtId="164" fontId="113" fillId="0" borderId="0" xfId="0" applyNumberFormat="1" applyFont="1" applyFill="1"/>
    <xf numFmtId="0" fontId="113" fillId="0" borderId="0" xfId="0" applyFont="1" applyFill="1" applyAlignment="1">
      <alignment horizontal="center"/>
    </xf>
    <xf numFmtId="0" fontId="55" fillId="0" borderId="0" xfId="0" applyFont="1" applyFill="1" applyAlignment="1">
      <alignment vertical="center"/>
    </xf>
    <xf numFmtId="0" fontId="55" fillId="0" borderId="0" xfId="0" applyFont="1" applyFill="1" applyAlignment="1">
      <alignment horizontal="center"/>
    </xf>
  </cellXfs>
  <cellStyles count="20">
    <cellStyle name="Звичайний_Додаток _ 3 зм_ни 4575" xfId="11"/>
    <cellStyle name="Обычный" xfId="0" builtinId="0"/>
    <cellStyle name="Обычный 10" xfId="9"/>
    <cellStyle name="Обычный 13" xfId="18"/>
    <cellStyle name="Обычный 14" xfId="3"/>
    <cellStyle name="Обычный 17" xfId="16"/>
    <cellStyle name="Обычный 2" xfId="1"/>
    <cellStyle name="Обычный 2 10" xfId="19"/>
    <cellStyle name="Обычный 3" xfId="2"/>
    <cellStyle name="Обычный 4" xfId="4"/>
    <cellStyle name="Обычный 5" xfId="7"/>
    <cellStyle name="Обычный 9 2" xfId="10"/>
    <cellStyle name="Обычный_00041601" xfId="13"/>
    <cellStyle name="Обычный_dod 4" xfId="12"/>
    <cellStyle name="Обычный_ZV1PIV98" xfId="5"/>
    <cellStyle name="Обычный_дод 8 до бюджету 2012" xfId="15"/>
    <cellStyle name="Обычный_дод.1" xfId="8"/>
    <cellStyle name="Обычный_дод.1 " xfId="6"/>
    <cellStyle name="Обычный_Додаток природоохоронний на 2018 рік" xfId="14"/>
    <cellStyle name="Финансовый_дод 8 до бюджету 2012" xfId="17"/>
  </cellStyles>
  <dxfs count="36">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s>
  <tableStyles count="0" defaultTableStyle="TableStyleMedium2" defaultPivotStyle="PivotStyleLight16"/>
  <colors>
    <mruColors>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9"/>
  <sheetViews>
    <sheetView showGridLines="0" showZeros="0" topLeftCell="A59" zoomScaleNormal="100" workbookViewId="0">
      <selection activeCell="B77" sqref="B77"/>
    </sheetView>
  </sheetViews>
  <sheetFormatPr defaultColWidth="9.33203125" defaultRowHeight="13.2" x14ac:dyDescent="0.25"/>
  <cols>
    <col min="1" max="1" width="12.6640625" style="877" customWidth="1"/>
    <col min="2" max="2" width="76.77734375" style="878" customWidth="1"/>
    <col min="3" max="3" width="17.77734375" style="879" customWidth="1"/>
    <col min="4" max="4" width="20.5546875" style="880" customWidth="1"/>
    <col min="5" max="5" width="19.109375" style="1072" customWidth="1"/>
    <col min="6" max="6" width="19" style="1073" customWidth="1"/>
    <col min="7" max="7" width="7.6640625" style="879" customWidth="1"/>
    <col min="8" max="8" width="13.33203125" style="879" bestFit="1" customWidth="1"/>
    <col min="9" max="256" width="9.33203125" style="878"/>
    <col min="257" max="257" width="12.6640625" style="878" customWidth="1"/>
    <col min="258" max="258" width="76.77734375" style="878" customWidth="1"/>
    <col min="259" max="259" width="17.77734375" style="878" customWidth="1"/>
    <col min="260" max="260" width="20.5546875" style="878" customWidth="1"/>
    <col min="261" max="261" width="19.109375" style="878" customWidth="1"/>
    <col min="262" max="262" width="19" style="878" customWidth="1"/>
    <col min="263" max="263" width="7.6640625" style="878" customWidth="1"/>
    <col min="264" max="264" width="13.33203125" style="878" bestFit="1" customWidth="1"/>
    <col min="265" max="512" width="9.33203125" style="878"/>
    <col min="513" max="513" width="12.6640625" style="878" customWidth="1"/>
    <col min="514" max="514" width="76.77734375" style="878" customWidth="1"/>
    <col min="515" max="515" width="17.77734375" style="878" customWidth="1"/>
    <col min="516" max="516" width="20.5546875" style="878" customWidth="1"/>
    <col min="517" max="517" width="19.109375" style="878" customWidth="1"/>
    <col min="518" max="518" width="19" style="878" customWidth="1"/>
    <col min="519" max="519" width="7.6640625" style="878" customWidth="1"/>
    <col min="520" max="520" width="13.33203125" style="878" bestFit="1" customWidth="1"/>
    <col min="521" max="768" width="9.33203125" style="878"/>
    <col min="769" max="769" width="12.6640625" style="878" customWidth="1"/>
    <col min="770" max="770" width="76.77734375" style="878" customWidth="1"/>
    <col min="771" max="771" width="17.77734375" style="878" customWidth="1"/>
    <col min="772" max="772" width="20.5546875" style="878" customWidth="1"/>
    <col min="773" max="773" width="19.109375" style="878" customWidth="1"/>
    <col min="774" max="774" width="19" style="878" customWidth="1"/>
    <col min="775" max="775" width="7.6640625" style="878" customWidth="1"/>
    <col min="776" max="776" width="13.33203125" style="878" bestFit="1" customWidth="1"/>
    <col min="777" max="1024" width="9.33203125" style="878"/>
    <col min="1025" max="1025" width="12.6640625" style="878" customWidth="1"/>
    <col min="1026" max="1026" width="76.77734375" style="878" customWidth="1"/>
    <col min="1027" max="1027" width="17.77734375" style="878" customWidth="1"/>
    <col min="1028" max="1028" width="20.5546875" style="878" customWidth="1"/>
    <col min="1029" max="1029" width="19.109375" style="878" customWidth="1"/>
    <col min="1030" max="1030" width="19" style="878" customWidth="1"/>
    <col min="1031" max="1031" width="7.6640625" style="878" customWidth="1"/>
    <col min="1032" max="1032" width="13.33203125" style="878" bestFit="1" customWidth="1"/>
    <col min="1033" max="1280" width="9.33203125" style="878"/>
    <col min="1281" max="1281" width="12.6640625" style="878" customWidth="1"/>
    <col min="1282" max="1282" width="76.77734375" style="878" customWidth="1"/>
    <col min="1283" max="1283" width="17.77734375" style="878" customWidth="1"/>
    <col min="1284" max="1284" width="20.5546875" style="878" customWidth="1"/>
    <col min="1285" max="1285" width="19.109375" style="878" customWidth="1"/>
    <col min="1286" max="1286" width="19" style="878" customWidth="1"/>
    <col min="1287" max="1287" width="7.6640625" style="878" customWidth="1"/>
    <col min="1288" max="1288" width="13.33203125" style="878" bestFit="1" customWidth="1"/>
    <col min="1289" max="1536" width="9.33203125" style="878"/>
    <col min="1537" max="1537" width="12.6640625" style="878" customWidth="1"/>
    <col min="1538" max="1538" width="76.77734375" style="878" customWidth="1"/>
    <col min="1539" max="1539" width="17.77734375" style="878" customWidth="1"/>
    <col min="1540" max="1540" width="20.5546875" style="878" customWidth="1"/>
    <col min="1541" max="1541" width="19.109375" style="878" customWidth="1"/>
    <col min="1542" max="1542" width="19" style="878" customWidth="1"/>
    <col min="1543" max="1543" width="7.6640625" style="878" customWidth="1"/>
    <col min="1544" max="1544" width="13.33203125" style="878" bestFit="1" customWidth="1"/>
    <col min="1545" max="1792" width="9.33203125" style="878"/>
    <col min="1793" max="1793" width="12.6640625" style="878" customWidth="1"/>
    <col min="1794" max="1794" width="76.77734375" style="878" customWidth="1"/>
    <col min="1795" max="1795" width="17.77734375" style="878" customWidth="1"/>
    <col min="1796" max="1796" width="20.5546875" style="878" customWidth="1"/>
    <col min="1797" max="1797" width="19.109375" style="878" customWidth="1"/>
    <col min="1798" max="1798" width="19" style="878" customWidth="1"/>
    <col min="1799" max="1799" width="7.6640625" style="878" customWidth="1"/>
    <col min="1800" max="1800" width="13.33203125" style="878" bestFit="1" customWidth="1"/>
    <col min="1801" max="2048" width="9.33203125" style="878"/>
    <col min="2049" max="2049" width="12.6640625" style="878" customWidth="1"/>
    <col min="2050" max="2050" width="76.77734375" style="878" customWidth="1"/>
    <col min="2051" max="2051" width="17.77734375" style="878" customWidth="1"/>
    <col min="2052" max="2052" width="20.5546875" style="878" customWidth="1"/>
    <col min="2053" max="2053" width="19.109375" style="878" customWidth="1"/>
    <col min="2054" max="2054" width="19" style="878" customWidth="1"/>
    <col min="2055" max="2055" width="7.6640625" style="878" customWidth="1"/>
    <col min="2056" max="2056" width="13.33203125" style="878" bestFit="1" customWidth="1"/>
    <col min="2057" max="2304" width="9.33203125" style="878"/>
    <col min="2305" max="2305" width="12.6640625" style="878" customWidth="1"/>
    <col min="2306" max="2306" width="76.77734375" style="878" customWidth="1"/>
    <col min="2307" max="2307" width="17.77734375" style="878" customWidth="1"/>
    <col min="2308" max="2308" width="20.5546875" style="878" customWidth="1"/>
    <col min="2309" max="2309" width="19.109375" style="878" customWidth="1"/>
    <col min="2310" max="2310" width="19" style="878" customWidth="1"/>
    <col min="2311" max="2311" width="7.6640625" style="878" customWidth="1"/>
    <col min="2312" max="2312" width="13.33203125" style="878" bestFit="1" customWidth="1"/>
    <col min="2313" max="2560" width="9.33203125" style="878"/>
    <col min="2561" max="2561" width="12.6640625" style="878" customWidth="1"/>
    <col min="2562" max="2562" width="76.77734375" style="878" customWidth="1"/>
    <col min="2563" max="2563" width="17.77734375" style="878" customWidth="1"/>
    <col min="2564" max="2564" width="20.5546875" style="878" customWidth="1"/>
    <col min="2565" max="2565" width="19.109375" style="878" customWidth="1"/>
    <col min="2566" max="2566" width="19" style="878" customWidth="1"/>
    <col min="2567" max="2567" width="7.6640625" style="878" customWidth="1"/>
    <col min="2568" max="2568" width="13.33203125" style="878" bestFit="1" customWidth="1"/>
    <col min="2569" max="2816" width="9.33203125" style="878"/>
    <col min="2817" max="2817" width="12.6640625" style="878" customWidth="1"/>
    <col min="2818" max="2818" width="76.77734375" style="878" customWidth="1"/>
    <col min="2819" max="2819" width="17.77734375" style="878" customWidth="1"/>
    <col min="2820" max="2820" width="20.5546875" style="878" customWidth="1"/>
    <col min="2821" max="2821" width="19.109375" style="878" customWidth="1"/>
    <col min="2822" max="2822" width="19" style="878" customWidth="1"/>
    <col min="2823" max="2823" width="7.6640625" style="878" customWidth="1"/>
    <col min="2824" max="2824" width="13.33203125" style="878" bestFit="1" customWidth="1"/>
    <col min="2825" max="3072" width="9.33203125" style="878"/>
    <col min="3073" max="3073" width="12.6640625" style="878" customWidth="1"/>
    <col min="3074" max="3074" width="76.77734375" style="878" customWidth="1"/>
    <col min="3075" max="3075" width="17.77734375" style="878" customWidth="1"/>
    <col min="3076" max="3076" width="20.5546875" style="878" customWidth="1"/>
    <col min="3077" max="3077" width="19.109375" style="878" customWidth="1"/>
    <col min="3078" max="3078" width="19" style="878" customWidth="1"/>
    <col min="3079" max="3079" width="7.6640625" style="878" customWidth="1"/>
    <col min="3080" max="3080" width="13.33203125" style="878" bestFit="1" customWidth="1"/>
    <col min="3081" max="3328" width="9.33203125" style="878"/>
    <col min="3329" max="3329" width="12.6640625" style="878" customWidth="1"/>
    <col min="3330" max="3330" width="76.77734375" style="878" customWidth="1"/>
    <col min="3331" max="3331" width="17.77734375" style="878" customWidth="1"/>
    <col min="3332" max="3332" width="20.5546875" style="878" customWidth="1"/>
    <col min="3333" max="3333" width="19.109375" style="878" customWidth="1"/>
    <col min="3334" max="3334" width="19" style="878" customWidth="1"/>
    <col min="3335" max="3335" width="7.6640625" style="878" customWidth="1"/>
    <col min="3336" max="3336" width="13.33203125" style="878" bestFit="1" customWidth="1"/>
    <col min="3337" max="3584" width="9.33203125" style="878"/>
    <col min="3585" max="3585" width="12.6640625" style="878" customWidth="1"/>
    <col min="3586" max="3586" width="76.77734375" style="878" customWidth="1"/>
    <col min="3587" max="3587" width="17.77734375" style="878" customWidth="1"/>
    <col min="3588" max="3588" width="20.5546875" style="878" customWidth="1"/>
    <col min="3589" max="3589" width="19.109375" style="878" customWidth="1"/>
    <col min="3590" max="3590" width="19" style="878" customWidth="1"/>
    <col min="3591" max="3591" width="7.6640625" style="878" customWidth="1"/>
    <col min="3592" max="3592" width="13.33203125" style="878" bestFit="1" customWidth="1"/>
    <col min="3593" max="3840" width="9.33203125" style="878"/>
    <col min="3841" max="3841" width="12.6640625" style="878" customWidth="1"/>
    <col min="3842" max="3842" width="76.77734375" style="878" customWidth="1"/>
    <col min="3843" max="3843" width="17.77734375" style="878" customWidth="1"/>
    <col min="3844" max="3844" width="20.5546875" style="878" customWidth="1"/>
    <col min="3845" max="3845" width="19.109375" style="878" customWidth="1"/>
    <col min="3846" max="3846" width="19" style="878" customWidth="1"/>
    <col min="3847" max="3847" width="7.6640625" style="878" customWidth="1"/>
    <col min="3848" max="3848" width="13.33203125" style="878" bestFit="1" customWidth="1"/>
    <col min="3849" max="4096" width="9.33203125" style="878"/>
    <col min="4097" max="4097" width="12.6640625" style="878" customWidth="1"/>
    <col min="4098" max="4098" width="76.77734375" style="878" customWidth="1"/>
    <col min="4099" max="4099" width="17.77734375" style="878" customWidth="1"/>
    <col min="4100" max="4100" width="20.5546875" style="878" customWidth="1"/>
    <col min="4101" max="4101" width="19.109375" style="878" customWidth="1"/>
    <col min="4102" max="4102" width="19" style="878" customWidth="1"/>
    <col min="4103" max="4103" width="7.6640625" style="878" customWidth="1"/>
    <col min="4104" max="4104" width="13.33203125" style="878" bestFit="1" customWidth="1"/>
    <col min="4105" max="4352" width="9.33203125" style="878"/>
    <col min="4353" max="4353" width="12.6640625" style="878" customWidth="1"/>
    <col min="4354" max="4354" width="76.77734375" style="878" customWidth="1"/>
    <col min="4355" max="4355" width="17.77734375" style="878" customWidth="1"/>
    <col min="4356" max="4356" width="20.5546875" style="878" customWidth="1"/>
    <col min="4357" max="4357" width="19.109375" style="878" customWidth="1"/>
    <col min="4358" max="4358" width="19" style="878" customWidth="1"/>
    <col min="4359" max="4359" width="7.6640625" style="878" customWidth="1"/>
    <col min="4360" max="4360" width="13.33203125" style="878" bestFit="1" customWidth="1"/>
    <col min="4361" max="4608" width="9.33203125" style="878"/>
    <col min="4609" max="4609" width="12.6640625" style="878" customWidth="1"/>
    <col min="4610" max="4610" width="76.77734375" style="878" customWidth="1"/>
    <col min="4611" max="4611" width="17.77734375" style="878" customWidth="1"/>
    <col min="4612" max="4612" width="20.5546875" style="878" customWidth="1"/>
    <col min="4613" max="4613" width="19.109375" style="878" customWidth="1"/>
    <col min="4614" max="4614" width="19" style="878" customWidth="1"/>
    <col min="4615" max="4615" width="7.6640625" style="878" customWidth="1"/>
    <col min="4616" max="4616" width="13.33203125" style="878" bestFit="1" customWidth="1"/>
    <col min="4617" max="4864" width="9.33203125" style="878"/>
    <col min="4865" max="4865" width="12.6640625" style="878" customWidth="1"/>
    <col min="4866" max="4866" width="76.77734375" style="878" customWidth="1"/>
    <col min="4867" max="4867" width="17.77734375" style="878" customWidth="1"/>
    <col min="4868" max="4868" width="20.5546875" style="878" customWidth="1"/>
    <col min="4869" max="4869" width="19.109375" style="878" customWidth="1"/>
    <col min="4870" max="4870" width="19" style="878" customWidth="1"/>
    <col min="4871" max="4871" width="7.6640625" style="878" customWidth="1"/>
    <col min="4872" max="4872" width="13.33203125" style="878" bestFit="1" customWidth="1"/>
    <col min="4873" max="5120" width="9.33203125" style="878"/>
    <col min="5121" max="5121" width="12.6640625" style="878" customWidth="1"/>
    <col min="5122" max="5122" width="76.77734375" style="878" customWidth="1"/>
    <col min="5123" max="5123" width="17.77734375" style="878" customWidth="1"/>
    <col min="5124" max="5124" width="20.5546875" style="878" customWidth="1"/>
    <col min="5125" max="5125" width="19.109375" style="878" customWidth="1"/>
    <col min="5126" max="5126" width="19" style="878" customWidth="1"/>
    <col min="5127" max="5127" width="7.6640625" style="878" customWidth="1"/>
    <col min="5128" max="5128" width="13.33203125" style="878" bestFit="1" customWidth="1"/>
    <col min="5129" max="5376" width="9.33203125" style="878"/>
    <col min="5377" max="5377" width="12.6640625" style="878" customWidth="1"/>
    <col min="5378" max="5378" width="76.77734375" style="878" customWidth="1"/>
    <col min="5379" max="5379" width="17.77734375" style="878" customWidth="1"/>
    <col min="5380" max="5380" width="20.5546875" style="878" customWidth="1"/>
    <col min="5381" max="5381" width="19.109375" style="878" customWidth="1"/>
    <col min="5382" max="5382" width="19" style="878" customWidth="1"/>
    <col min="5383" max="5383" width="7.6640625" style="878" customWidth="1"/>
    <col min="5384" max="5384" width="13.33203125" style="878" bestFit="1" customWidth="1"/>
    <col min="5385" max="5632" width="9.33203125" style="878"/>
    <col min="5633" max="5633" width="12.6640625" style="878" customWidth="1"/>
    <col min="5634" max="5634" width="76.77734375" style="878" customWidth="1"/>
    <col min="5635" max="5635" width="17.77734375" style="878" customWidth="1"/>
    <col min="5636" max="5636" width="20.5546875" style="878" customWidth="1"/>
    <col min="5637" max="5637" width="19.109375" style="878" customWidth="1"/>
    <col min="5638" max="5638" width="19" style="878" customWidth="1"/>
    <col min="5639" max="5639" width="7.6640625" style="878" customWidth="1"/>
    <col min="5640" max="5640" width="13.33203125" style="878" bestFit="1" customWidth="1"/>
    <col min="5641" max="5888" width="9.33203125" style="878"/>
    <col min="5889" max="5889" width="12.6640625" style="878" customWidth="1"/>
    <col min="5890" max="5890" width="76.77734375" style="878" customWidth="1"/>
    <col min="5891" max="5891" width="17.77734375" style="878" customWidth="1"/>
    <col min="5892" max="5892" width="20.5546875" style="878" customWidth="1"/>
    <col min="5893" max="5893" width="19.109375" style="878" customWidth="1"/>
    <col min="5894" max="5894" width="19" style="878" customWidth="1"/>
    <col min="5895" max="5895" width="7.6640625" style="878" customWidth="1"/>
    <col min="5896" max="5896" width="13.33203125" style="878" bestFit="1" customWidth="1"/>
    <col min="5897" max="6144" width="9.33203125" style="878"/>
    <col min="6145" max="6145" width="12.6640625" style="878" customWidth="1"/>
    <col min="6146" max="6146" width="76.77734375" style="878" customWidth="1"/>
    <col min="6147" max="6147" width="17.77734375" style="878" customWidth="1"/>
    <col min="6148" max="6148" width="20.5546875" style="878" customWidth="1"/>
    <col min="6149" max="6149" width="19.109375" style="878" customWidth="1"/>
    <col min="6150" max="6150" width="19" style="878" customWidth="1"/>
    <col min="6151" max="6151" width="7.6640625" style="878" customWidth="1"/>
    <col min="6152" max="6152" width="13.33203125" style="878" bestFit="1" customWidth="1"/>
    <col min="6153" max="6400" width="9.33203125" style="878"/>
    <col min="6401" max="6401" width="12.6640625" style="878" customWidth="1"/>
    <col min="6402" max="6402" width="76.77734375" style="878" customWidth="1"/>
    <col min="6403" max="6403" width="17.77734375" style="878" customWidth="1"/>
    <col min="6404" max="6404" width="20.5546875" style="878" customWidth="1"/>
    <col min="6405" max="6405" width="19.109375" style="878" customWidth="1"/>
    <col min="6406" max="6406" width="19" style="878" customWidth="1"/>
    <col min="6407" max="6407" width="7.6640625" style="878" customWidth="1"/>
    <col min="6408" max="6408" width="13.33203125" style="878" bestFit="1" customWidth="1"/>
    <col min="6409" max="6656" width="9.33203125" style="878"/>
    <col min="6657" max="6657" width="12.6640625" style="878" customWidth="1"/>
    <col min="6658" max="6658" width="76.77734375" style="878" customWidth="1"/>
    <col min="6659" max="6659" width="17.77734375" style="878" customWidth="1"/>
    <col min="6660" max="6660" width="20.5546875" style="878" customWidth="1"/>
    <col min="6661" max="6661" width="19.109375" style="878" customWidth="1"/>
    <col min="6662" max="6662" width="19" style="878" customWidth="1"/>
    <col min="6663" max="6663" width="7.6640625" style="878" customWidth="1"/>
    <col min="6664" max="6664" width="13.33203125" style="878" bestFit="1" customWidth="1"/>
    <col min="6665" max="6912" width="9.33203125" style="878"/>
    <col min="6913" max="6913" width="12.6640625" style="878" customWidth="1"/>
    <col min="6914" max="6914" width="76.77734375" style="878" customWidth="1"/>
    <col min="6915" max="6915" width="17.77734375" style="878" customWidth="1"/>
    <col min="6916" max="6916" width="20.5546875" style="878" customWidth="1"/>
    <col min="6917" max="6917" width="19.109375" style="878" customWidth="1"/>
    <col min="6918" max="6918" width="19" style="878" customWidth="1"/>
    <col min="6919" max="6919" width="7.6640625" style="878" customWidth="1"/>
    <col min="6920" max="6920" width="13.33203125" style="878" bestFit="1" customWidth="1"/>
    <col min="6921" max="7168" width="9.33203125" style="878"/>
    <col min="7169" max="7169" width="12.6640625" style="878" customWidth="1"/>
    <col min="7170" max="7170" width="76.77734375" style="878" customWidth="1"/>
    <col min="7171" max="7171" width="17.77734375" style="878" customWidth="1"/>
    <col min="7172" max="7172" width="20.5546875" style="878" customWidth="1"/>
    <col min="7173" max="7173" width="19.109375" style="878" customWidth="1"/>
    <col min="7174" max="7174" width="19" style="878" customWidth="1"/>
    <col min="7175" max="7175" width="7.6640625" style="878" customWidth="1"/>
    <col min="7176" max="7176" width="13.33203125" style="878" bestFit="1" customWidth="1"/>
    <col min="7177" max="7424" width="9.33203125" style="878"/>
    <col min="7425" max="7425" width="12.6640625" style="878" customWidth="1"/>
    <col min="7426" max="7426" width="76.77734375" style="878" customWidth="1"/>
    <col min="7427" max="7427" width="17.77734375" style="878" customWidth="1"/>
    <col min="7428" max="7428" width="20.5546875" style="878" customWidth="1"/>
    <col min="7429" max="7429" width="19.109375" style="878" customWidth="1"/>
    <col min="7430" max="7430" width="19" style="878" customWidth="1"/>
    <col min="7431" max="7431" width="7.6640625" style="878" customWidth="1"/>
    <col min="7432" max="7432" width="13.33203125" style="878" bestFit="1" customWidth="1"/>
    <col min="7433" max="7680" width="9.33203125" style="878"/>
    <col min="7681" max="7681" width="12.6640625" style="878" customWidth="1"/>
    <col min="7682" max="7682" width="76.77734375" style="878" customWidth="1"/>
    <col min="7683" max="7683" width="17.77734375" style="878" customWidth="1"/>
    <col min="7684" max="7684" width="20.5546875" style="878" customWidth="1"/>
    <col min="7685" max="7685" width="19.109375" style="878" customWidth="1"/>
    <col min="7686" max="7686" width="19" style="878" customWidth="1"/>
    <col min="7687" max="7687" width="7.6640625" style="878" customWidth="1"/>
    <col min="7688" max="7688" width="13.33203125" style="878" bestFit="1" customWidth="1"/>
    <col min="7689" max="7936" width="9.33203125" style="878"/>
    <col min="7937" max="7937" width="12.6640625" style="878" customWidth="1"/>
    <col min="7938" max="7938" width="76.77734375" style="878" customWidth="1"/>
    <col min="7939" max="7939" width="17.77734375" style="878" customWidth="1"/>
    <col min="7940" max="7940" width="20.5546875" style="878" customWidth="1"/>
    <col min="7941" max="7941" width="19.109375" style="878" customWidth="1"/>
    <col min="7942" max="7942" width="19" style="878" customWidth="1"/>
    <col min="7943" max="7943" width="7.6640625" style="878" customWidth="1"/>
    <col min="7944" max="7944" width="13.33203125" style="878" bestFit="1" customWidth="1"/>
    <col min="7945" max="8192" width="9.33203125" style="878"/>
    <col min="8193" max="8193" width="12.6640625" style="878" customWidth="1"/>
    <col min="8194" max="8194" width="76.77734375" style="878" customWidth="1"/>
    <col min="8195" max="8195" width="17.77734375" style="878" customWidth="1"/>
    <col min="8196" max="8196" width="20.5546875" style="878" customWidth="1"/>
    <col min="8197" max="8197" width="19.109375" style="878" customWidth="1"/>
    <col min="8198" max="8198" width="19" style="878" customWidth="1"/>
    <col min="8199" max="8199" width="7.6640625" style="878" customWidth="1"/>
    <col min="8200" max="8200" width="13.33203125" style="878" bestFit="1" customWidth="1"/>
    <col min="8201" max="8448" width="9.33203125" style="878"/>
    <col min="8449" max="8449" width="12.6640625" style="878" customWidth="1"/>
    <col min="8450" max="8450" width="76.77734375" style="878" customWidth="1"/>
    <col min="8451" max="8451" width="17.77734375" style="878" customWidth="1"/>
    <col min="8452" max="8452" width="20.5546875" style="878" customWidth="1"/>
    <col min="8453" max="8453" width="19.109375" style="878" customWidth="1"/>
    <col min="8454" max="8454" width="19" style="878" customWidth="1"/>
    <col min="8455" max="8455" width="7.6640625" style="878" customWidth="1"/>
    <col min="8456" max="8456" width="13.33203125" style="878" bestFit="1" customWidth="1"/>
    <col min="8457" max="8704" width="9.33203125" style="878"/>
    <col min="8705" max="8705" width="12.6640625" style="878" customWidth="1"/>
    <col min="8706" max="8706" width="76.77734375" style="878" customWidth="1"/>
    <col min="8707" max="8707" width="17.77734375" style="878" customWidth="1"/>
    <col min="8708" max="8708" width="20.5546875" style="878" customWidth="1"/>
    <col min="8709" max="8709" width="19.109375" style="878" customWidth="1"/>
    <col min="8710" max="8710" width="19" style="878" customWidth="1"/>
    <col min="8711" max="8711" width="7.6640625" style="878" customWidth="1"/>
    <col min="8712" max="8712" width="13.33203125" style="878" bestFit="1" customWidth="1"/>
    <col min="8713" max="8960" width="9.33203125" style="878"/>
    <col min="8961" max="8961" width="12.6640625" style="878" customWidth="1"/>
    <col min="8962" max="8962" width="76.77734375" style="878" customWidth="1"/>
    <col min="8963" max="8963" width="17.77734375" style="878" customWidth="1"/>
    <col min="8964" max="8964" width="20.5546875" style="878" customWidth="1"/>
    <col min="8965" max="8965" width="19.109375" style="878" customWidth="1"/>
    <col min="8966" max="8966" width="19" style="878" customWidth="1"/>
    <col min="8967" max="8967" width="7.6640625" style="878" customWidth="1"/>
    <col min="8968" max="8968" width="13.33203125" style="878" bestFit="1" customWidth="1"/>
    <col min="8969" max="9216" width="9.33203125" style="878"/>
    <col min="9217" max="9217" width="12.6640625" style="878" customWidth="1"/>
    <col min="9218" max="9218" width="76.77734375" style="878" customWidth="1"/>
    <col min="9219" max="9219" width="17.77734375" style="878" customWidth="1"/>
    <col min="9220" max="9220" width="20.5546875" style="878" customWidth="1"/>
    <col min="9221" max="9221" width="19.109375" style="878" customWidth="1"/>
    <col min="9222" max="9222" width="19" style="878" customWidth="1"/>
    <col min="9223" max="9223" width="7.6640625" style="878" customWidth="1"/>
    <col min="9224" max="9224" width="13.33203125" style="878" bestFit="1" customWidth="1"/>
    <col min="9225" max="9472" width="9.33203125" style="878"/>
    <col min="9473" max="9473" width="12.6640625" style="878" customWidth="1"/>
    <col min="9474" max="9474" width="76.77734375" style="878" customWidth="1"/>
    <col min="9475" max="9475" width="17.77734375" style="878" customWidth="1"/>
    <col min="9476" max="9476" width="20.5546875" style="878" customWidth="1"/>
    <col min="9477" max="9477" width="19.109375" style="878" customWidth="1"/>
    <col min="9478" max="9478" width="19" style="878" customWidth="1"/>
    <col min="9479" max="9479" width="7.6640625" style="878" customWidth="1"/>
    <col min="9480" max="9480" width="13.33203125" style="878" bestFit="1" customWidth="1"/>
    <col min="9481" max="9728" width="9.33203125" style="878"/>
    <col min="9729" max="9729" width="12.6640625" style="878" customWidth="1"/>
    <col min="9730" max="9730" width="76.77734375" style="878" customWidth="1"/>
    <col min="9731" max="9731" width="17.77734375" style="878" customWidth="1"/>
    <col min="9732" max="9732" width="20.5546875" style="878" customWidth="1"/>
    <col min="9733" max="9733" width="19.109375" style="878" customWidth="1"/>
    <col min="9734" max="9734" width="19" style="878" customWidth="1"/>
    <col min="9735" max="9735" width="7.6640625" style="878" customWidth="1"/>
    <col min="9736" max="9736" width="13.33203125" style="878" bestFit="1" customWidth="1"/>
    <col min="9737" max="9984" width="9.33203125" style="878"/>
    <col min="9985" max="9985" width="12.6640625" style="878" customWidth="1"/>
    <col min="9986" max="9986" width="76.77734375" style="878" customWidth="1"/>
    <col min="9987" max="9987" width="17.77734375" style="878" customWidth="1"/>
    <col min="9988" max="9988" width="20.5546875" style="878" customWidth="1"/>
    <col min="9989" max="9989" width="19.109375" style="878" customWidth="1"/>
    <col min="9990" max="9990" width="19" style="878" customWidth="1"/>
    <col min="9991" max="9991" width="7.6640625" style="878" customWidth="1"/>
    <col min="9992" max="9992" width="13.33203125" style="878" bestFit="1" customWidth="1"/>
    <col min="9993" max="10240" width="9.33203125" style="878"/>
    <col min="10241" max="10241" width="12.6640625" style="878" customWidth="1"/>
    <col min="10242" max="10242" width="76.77734375" style="878" customWidth="1"/>
    <col min="10243" max="10243" width="17.77734375" style="878" customWidth="1"/>
    <col min="10244" max="10244" width="20.5546875" style="878" customWidth="1"/>
    <col min="10245" max="10245" width="19.109375" style="878" customWidth="1"/>
    <col min="10246" max="10246" width="19" style="878" customWidth="1"/>
    <col min="10247" max="10247" width="7.6640625" style="878" customWidth="1"/>
    <col min="10248" max="10248" width="13.33203125" style="878" bestFit="1" customWidth="1"/>
    <col min="10249" max="10496" width="9.33203125" style="878"/>
    <col min="10497" max="10497" width="12.6640625" style="878" customWidth="1"/>
    <col min="10498" max="10498" width="76.77734375" style="878" customWidth="1"/>
    <col min="10499" max="10499" width="17.77734375" style="878" customWidth="1"/>
    <col min="10500" max="10500" width="20.5546875" style="878" customWidth="1"/>
    <col min="10501" max="10501" width="19.109375" style="878" customWidth="1"/>
    <col min="10502" max="10502" width="19" style="878" customWidth="1"/>
    <col min="10503" max="10503" width="7.6640625" style="878" customWidth="1"/>
    <col min="10504" max="10504" width="13.33203125" style="878" bestFit="1" customWidth="1"/>
    <col min="10505" max="10752" width="9.33203125" style="878"/>
    <col min="10753" max="10753" width="12.6640625" style="878" customWidth="1"/>
    <col min="10754" max="10754" width="76.77734375" style="878" customWidth="1"/>
    <col min="10755" max="10755" width="17.77734375" style="878" customWidth="1"/>
    <col min="10756" max="10756" width="20.5546875" style="878" customWidth="1"/>
    <col min="10757" max="10757" width="19.109375" style="878" customWidth="1"/>
    <col min="10758" max="10758" width="19" style="878" customWidth="1"/>
    <col min="10759" max="10759" width="7.6640625" style="878" customWidth="1"/>
    <col min="10760" max="10760" width="13.33203125" style="878" bestFit="1" customWidth="1"/>
    <col min="10761" max="11008" width="9.33203125" style="878"/>
    <col min="11009" max="11009" width="12.6640625" style="878" customWidth="1"/>
    <col min="11010" max="11010" width="76.77734375" style="878" customWidth="1"/>
    <col min="11011" max="11011" width="17.77734375" style="878" customWidth="1"/>
    <col min="11012" max="11012" width="20.5546875" style="878" customWidth="1"/>
    <col min="11013" max="11013" width="19.109375" style="878" customWidth="1"/>
    <col min="11014" max="11014" width="19" style="878" customWidth="1"/>
    <col min="11015" max="11015" width="7.6640625" style="878" customWidth="1"/>
    <col min="11016" max="11016" width="13.33203125" style="878" bestFit="1" customWidth="1"/>
    <col min="11017" max="11264" width="9.33203125" style="878"/>
    <col min="11265" max="11265" width="12.6640625" style="878" customWidth="1"/>
    <col min="11266" max="11266" width="76.77734375" style="878" customWidth="1"/>
    <col min="11267" max="11267" width="17.77734375" style="878" customWidth="1"/>
    <col min="11268" max="11268" width="20.5546875" style="878" customWidth="1"/>
    <col min="11269" max="11269" width="19.109375" style="878" customWidth="1"/>
    <col min="11270" max="11270" width="19" style="878" customWidth="1"/>
    <col min="11271" max="11271" width="7.6640625" style="878" customWidth="1"/>
    <col min="11272" max="11272" width="13.33203125" style="878" bestFit="1" customWidth="1"/>
    <col min="11273" max="11520" width="9.33203125" style="878"/>
    <col min="11521" max="11521" width="12.6640625" style="878" customWidth="1"/>
    <col min="11522" max="11522" width="76.77734375" style="878" customWidth="1"/>
    <col min="11523" max="11523" width="17.77734375" style="878" customWidth="1"/>
    <col min="11524" max="11524" width="20.5546875" style="878" customWidth="1"/>
    <col min="11525" max="11525" width="19.109375" style="878" customWidth="1"/>
    <col min="11526" max="11526" width="19" style="878" customWidth="1"/>
    <col min="11527" max="11527" width="7.6640625" style="878" customWidth="1"/>
    <col min="11528" max="11528" width="13.33203125" style="878" bestFit="1" customWidth="1"/>
    <col min="11529" max="11776" width="9.33203125" style="878"/>
    <col min="11777" max="11777" width="12.6640625" style="878" customWidth="1"/>
    <col min="11778" max="11778" width="76.77734375" style="878" customWidth="1"/>
    <col min="11779" max="11779" width="17.77734375" style="878" customWidth="1"/>
    <col min="11780" max="11780" width="20.5546875" style="878" customWidth="1"/>
    <col min="11781" max="11781" width="19.109375" style="878" customWidth="1"/>
    <col min="11782" max="11782" width="19" style="878" customWidth="1"/>
    <col min="11783" max="11783" width="7.6640625" style="878" customWidth="1"/>
    <col min="11784" max="11784" width="13.33203125" style="878" bestFit="1" customWidth="1"/>
    <col min="11785" max="12032" width="9.33203125" style="878"/>
    <col min="12033" max="12033" width="12.6640625" style="878" customWidth="1"/>
    <col min="12034" max="12034" width="76.77734375" style="878" customWidth="1"/>
    <col min="12035" max="12035" width="17.77734375" style="878" customWidth="1"/>
    <col min="12036" max="12036" width="20.5546875" style="878" customWidth="1"/>
    <col min="12037" max="12037" width="19.109375" style="878" customWidth="1"/>
    <col min="12038" max="12038" width="19" style="878" customWidth="1"/>
    <col min="12039" max="12039" width="7.6640625" style="878" customWidth="1"/>
    <col min="12040" max="12040" width="13.33203125" style="878" bestFit="1" customWidth="1"/>
    <col min="12041" max="12288" width="9.33203125" style="878"/>
    <col min="12289" max="12289" width="12.6640625" style="878" customWidth="1"/>
    <col min="12290" max="12290" width="76.77734375" style="878" customWidth="1"/>
    <col min="12291" max="12291" width="17.77734375" style="878" customWidth="1"/>
    <col min="12292" max="12292" width="20.5546875" style="878" customWidth="1"/>
    <col min="12293" max="12293" width="19.109375" style="878" customWidth="1"/>
    <col min="12294" max="12294" width="19" style="878" customWidth="1"/>
    <col min="12295" max="12295" width="7.6640625" style="878" customWidth="1"/>
    <col min="12296" max="12296" width="13.33203125" style="878" bestFit="1" customWidth="1"/>
    <col min="12297" max="12544" width="9.33203125" style="878"/>
    <col min="12545" max="12545" width="12.6640625" style="878" customWidth="1"/>
    <col min="12546" max="12546" width="76.77734375" style="878" customWidth="1"/>
    <col min="12547" max="12547" width="17.77734375" style="878" customWidth="1"/>
    <col min="12548" max="12548" width="20.5546875" style="878" customWidth="1"/>
    <col min="12549" max="12549" width="19.109375" style="878" customWidth="1"/>
    <col min="12550" max="12550" width="19" style="878" customWidth="1"/>
    <col min="12551" max="12551" width="7.6640625" style="878" customWidth="1"/>
    <col min="12552" max="12552" width="13.33203125" style="878" bestFit="1" customWidth="1"/>
    <col min="12553" max="12800" width="9.33203125" style="878"/>
    <col min="12801" max="12801" width="12.6640625" style="878" customWidth="1"/>
    <col min="12802" max="12802" width="76.77734375" style="878" customWidth="1"/>
    <col min="12803" max="12803" width="17.77734375" style="878" customWidth="1"/>
    <col min="12804" max="12804" width="20.5546875" style="878" customWidth="1"/>
    <col min="12805" max="12805" width="19.109375" style="878" customWidth="1"/>
    <col min="12806" max="12806" width="19" style="878" customWidth="1"/>
    <col min="12807" max="12807" width="7.6640625" style="878" customWidth="1"/>
    <col min="12808" max="12808" width="13.33203125" style="878" bestFit="1" customWidth="1"/>
    <col min="12809" max="13056" width="9.33203125" style="878"/>
    <col min="13057" max="13057" width="12.6640625" style="878" customWidth="1"/>
    <col min="13058" max="13058" width="76.77734375" style="878" customWidth="1"/>
    <col min="13059" max="13059" width="17.77734375" style="878" customWidth="1"/>
    <col min="13060" max="13060" width="20.5546875" style="878" customWidth="1"/>
    <col min="13061" max="13061" width="19.109375" style="878" customWidth="1"/>
    <col min="13062" max="13062" width="19" style="878" customWidth="1"/>
    <col min="13063" max="13063" width="7.6640625" style="878" customWidth="1"/>
    <col min="13064" max="13064" width="13.33203125" style="878" bestFit="1" customWidth="1"/>
    <col min="13065" max="13312" width="9.33203125" style="878"/>
    <col min="13313" max="13313" width="12.6640625" style="878" customWidth="1"/>
    <col min="13314" max="13314" width="76.77734375" style="878" customWidth="1"/>
    <col min="13315" max="13315" width="17.77734375" style="878" customWidth="1"/>
    <col min="13316" max="13316" width="20.5546875" style="878" customWidth="1"/>
    <col min="13317" max="13317" width="19.109375" style="878" customWidth="1"/>
    <col min="13318" max="13318" width="19" style="878" customWidth="1"/>
    <col min="13319" max="13319" width="7.6640625" style="878" customWidth="1"/>
    <col min="13320" max="13320" width="13.33203125" style="878" bestFit="1" customWidth="1"/>
    <col min="13321" max="13568" width="9.33203125" style="878"/>
    <col min="13569" max="13569" width="12.6640625" style="878" customWidth="1"/>
    <col min="13570" max="13570" width="76.77734375" style="878" customWidth="1"/>
    <col min="13571" max="13571" width="17.77734375" style="878" customWidth="1"/>
    <col min="13572" max="13572" width="20.5546875" style="878" customWidth="1"/>
    <col min="13573" max="13573" width="19.109375" style="878" customWidth="1"/>
    <col min="13574" max="13574" width="19" style="878" customWidth="1"/>
    <col min="13575" max="13575" width="7.6640625" style="878" customWidth="1"/>
    <col min="13576" max="13576" width="13.33203125" style="878" bestFit="1" customWidth="1"/>
    <col min="13577" max="13824" width="9.33203125" style="878"/>
    <col min="13825" max="13825" width="12.6640625" style="878" customWidth="1"/>
    <col min="13826" max="13826" width="76.77734375" style="878" customWidth="1"/>
    <col min="13827" max="13827" width="17.77734375" style="878" customWidth="1"/>
    <col min="13828" max="13828" width="20.5546875" style="878" customWidth="1"/>
    <col min="13829" max="13829" width="19.109375" style="878" customWidth="1"/>
    <col min="13830" max="13830" width="19" style="878" customWidth="1"/>
    <col min="13831" max="13831" width="7.6640625" style="878" customWidth="1"/>
    <col min="13832" max="13832" width="13.33203125" style="878" bestFit="1" customWidth="1"/>
    <col min="13833" max="14080" width="9.33203125" style="878"/>
    <col min="14081" max="14081" width="12.6640625" style="878" customWidth="1"/>
    <col min="14082" max="14082" width="76.77734375" style="878" customWidth="1"/>
    <col min="14083" max="14083" width="17.77734375" style="878" customWidth="1"/>
    <col min="14084" max="14084" width="20.5546875" style="878" customWidth="1"/>
    <col min="14085" max="14085" width="19.109375" style="878" customWidth="1"/>
    <col min="14086" max="14086" width="19" style="878" customWidth="1"/>
    <col min="14087" max="14087" width="7.6640625" style="878" customWidth="1"/>
    <col min="14088" max="14088" width="13.33203125" style="878" bestFit="1" customWidth="1"/>
    <col min="14089" max="14336" width="9.33203125" style="878"/>
    <col min="14337" max="14337" width="12.6640625" style="878" customWidth="1"/>
    <col min="14338" max="14338" width="76.77734375" style="878" customWidth="1"/>
    <col min="14339" max="14339" width="17.77734375" style="878" customWidth="1"/>
    <col min="14340" max="14340" width="20.5546875" style="878" customWidth="1"/>
    <col min="14341" max="14341" width="19.109375" style="878" customWidth="1"/>
    <col min="14342" max="14342" width="19" style="878" customWidth="1"/>
    <col min="14343" max="14343" width="7.6640625" style="878" customWidth="1"/>
    <col min="14344" max="14344" width="13.33203125" style="878" bestFit="1" customWidth="1"/>
    <col min="14345" max="14592" width="9.33203125" style="878"/>
    <col min="14593" max="14593" width="12.6640625" style="878" customWidth="1"/>
    <col min="14594" max="14594" width="76.77734375" style="878" customWidth="1"/>
    <col min="14595" max="14595" width="17.77734375" style="878" customWidth="1"/>
    <col min="14596" max="14596" width="20.5546875" style="878" customWidth="1"/>
    <col min="14597" max="14597" width="19.109375" style="878" customWidth="1"/>
    <col min="14598" max="14598" width="19" style="878" customWidth="1"/>
    <col min="14599" max="14599" width="7.6640625" style="878" customWidth="1"/>
    <col min="14600" max="14600" width="13.33203125" style="878" bestFit="1" customWidth="1"/>
    <col min="14601" max="14848" width="9.33203125" style="878"/>
    <col min="14849" max="14849" width="12.6640625" style="878" customWidth="1"/>
    <col min="14850" max="14850" width="76.77734375" style="878" customWidth="1"/>
    <col min="14851" max="14851" width="17.77734375" style="878" customWidth="1"/>
    <col min="14852" max="14852" width="20.5546875" style="878" customWidth="1"/>
    <col min="14853" max="14853" width="19.109375" style="878" customWidth="1"/>
    <col min="14854" max="14854" width="19" style="878" customWidth="1"/>
    <col min="14855" max="14855" width="7.6640625" style="878" customWidth="1"/>
    <col min="14856" max="14856" width="13.33203125" style="878" bestFit="1" customWidth="1"/>
    <col min="14857" max="15104" width="9.33203125" style="878"/>
    <col min="15105" max="15105" width="12.6640625" style="878" customWidth="1"/>
    <col min="15106" max="15106" width="76.77734375" style="878" customWidth="1"/>
    <col min="15107" max="15107" width="17.77734375" style="878" customWidth="1"/>
    <col min="15108" max="15108" width="20.5546875" style="878" customWidth="1"/>
    <col min="15109" max="15109" width="19.109375" style="878" customWidth="1"/>
    <col min="15110" max="15110" width="19" style="878" customWidth="1"/>
    <col min="15111" max="15111" width="7.6640625" style="878" customWidth="1"/>
    <col min="15112" max="15112" width="13.33203125" style="878" bestFit="1" customWidth="1"/>
    <col min="15113" max="15360" width="9.33203125" style="878"/>
    <col min="15361" max="15361" width="12.6640625" style="878" customWidth="1"/>
    <col min="15362" max="15362" width="76.77734375" style="878" customWidth="1"/>
    <col min="15363" max="15363" width="17.77734375" style="878" customWidth="1"/>
    <col min="15364" max="15364" width="20.5546875" style="878" customWidth="1"/>
    <col min="15365" max="15365" width="19.109375" style="878" customWidth="1"/>
    <col min="15366" max="15366" width="19" style="878" customWidth="1"/>
    <col min="15367" max="15367" width="7.6640625" style="878" customWidth="1"/>
    <col min="15368" max="15368" width="13.33203125" style="878" bestFit="1" customWidth="1"/>
    <col min="15369" max="15616" width="9.33203125" style="878"/>
    <col min="15617" max="15617" width="12.6640625" style="878" customWidth="1"/>
    <col min="15618" max="15618" width="76.77734375" style="878" customWidth="1"/>
    <col min="15619" max="15619" width="17.77734375" style="878" customWidth="1"/>
    <col min="15620" max="15620" width="20.5546875" style="878" customWidth="1"/>
    <col min="15621" max="15621" width="19.109375" style="878" customWidth="1"/>
    <col min="15622" max="15622" width="19" style="878" customWidth="1"/>
    <col min="15623" max="15623" width="7.6640625" style="878" customWidth="1"/>
    <col min="15624" max="15624" width="13.33203125" style="878" bestFit="1" customWidth="1"/>
    <col min="15625" max="15872" width="9.33203125" style="878"/>
    <col min="15873" max="15873" width="12.6640625" style="878" customWidth="1"/>
    <col min="15874" max="15874" width="76.77734375" style="878" customWidth="1"/>
    <col min="15875" max="15875" width="17.77734375" style="878" customWidth="1"/>
    <col min="15876" max="15876" width="20.5546875" style="878" customWidth="1"/>
    <col min="15877" max="15877" width="19.109375" style="878" customWidth="1"/>
    <col min="15878" max="15878" width="19" style="878" customWidth="1"/>
    <col min="15879" max="15879" width="7.6640625" style="878" customWidth="1"/>
    <col min="15880" max="15880" width="13.33203125" style="878" bestFit="1" customWidth="1"/>
    <col min="15881" max="16128" width="9.33203125" style="878"/>
    <col min="16129" max="16129" width="12.6640625" style="878" customWidth="1"/>
    <col min="16130" max="16130" width="76.77734375" style="878" customWidth="1"/>
    <col min="16131" max="16131" width="17.77734375" style="878" customWidth="1"/>
    <col min="16132" max="16132" width="20.5546875" style="878" customWidth="1"/>
    <col min="16133" max="16133" width="19.109375" style="878" customWidth="1"/>
    <col min="16134" max="16134" width="19" style="878" customWidth="1"/>
    <col min="16135" max="16135" width="7.6640625" style="878" customWidth="1"/>
    <col min="16136" max="16136" width="13.33203125" style="878" bestFit="1" customWidth="1"/>
    <col min="16137" max="16384" width="9.33203125" style="878"/>
  </cols>
  <sheetData>
    <row r="1" spans="1:9" x14ac:dyDescent="0.25">
      <c r="E1" s="1836" t="s">
        <v>689</v>
      </c>
      <c r="F1" s="1837"/>
    </row>
    <row r="2" spans="1:9" ht="83.4" customHeight="1" x14ac:dyDescent="0.25">
      <c r="E2" s="1837"/>
      <c r="F2" s="1837"/>
    </row>
    <row r="3" spans="1:9" ht="10.8" customHeight="1" x14ac:dyDescent="0.25">
      <c r="E3" s="881"/>
      <c r="F3" s="881"/>
    </row>
    <row r="4" spans="1:9" ht="54" customHeight="1" x14ac:dyDescent="0.45">
      <c r="A4" s="1838" t="s">
        <v>690</v>
      </c>
      <c r="B4" s="1838"/>
      <c r="C4" s="1838"/>
      <c r="D4" s="1838"/>
      <c r="E4" s="1838"/>
      <c r="F4" s="1838"/>
    </row>
    <row r="5" spans="1:9" x14ac:dyDescent="0.25">
      <c r="A5" s="1839">
        <v>2357600000</v>
      </c>
      <c r="B5" s="1839"/>
      <c r="C5" s="1839"/>
      <c r="D5" s="1839"/>
      <c r="E5" s="1839"/>
      <c r="F5" s="1839"/>
    </row>
    <row r="6" spans="1:9" x14ac:dyDescent="0.25">
      <c r="A6" s="1840" t="s">
        <v>691</v>
      </c>
      <c r="B6" s="1840"/>
      <c r="C6" s="1840"/>
      <c r="D6" s="1840"/>
      <c r="E6" s="1840"/>
      <c r="F6" s="1840"/>
    </row>
    <row r="7" spans="1:9" x14ac:dyDescent="0.25">
      <c r="B7" s="882"/>
      <c r="C7" s="883"/>
      <c r="D7" s="884"/>
      <c r="E7" s="885"/>
      <c r="F7" s="886" t="s">
        <v>692</v>
      </c>
    </row>
    <row r="8" spans="1:9" s="888" customFormat="1" ht="13.8" x14ac:dyDescent="0.25">
      <c r="A8" s="1841" t="s">
        <v>693</v>
      </c>
      <c r="B8" s="1841" t="s">
        <v>694</v>
      </c>
      <c r="C8" s="1843" t="s">
        <v>695</v>
      </c>
      <c r="D8" s="1844" t="s">
        <v>696</v>
      </c>
      <c r="E8" s="1845" t="s">
        <v>3</v>
      </c>
      <c r="F8" s="1845"/>
      <c r="G8" s="887"/>
      <c r="H8" s="887"/>
    </row>
    <row r="9" spans="1:9" s="892" customFormat="1" ht="27.6" x14ac:dyDescent="0.25">
      <c r="A9" s="1841"/>
      <c r="B9" s="1842"/>
      <c r="C9" s="1843"/>
      <c r="D9" s="1844"/>
      <c r="E9" s="889" t="s">
        <v>695</v>
      </c>
      <c r="F9" s="890" t="s">
        <v>697</v>
      </c>
      <c r="G9" s="891"/>
      <c r="H9" s="891"/>
    </row>
    <row r="10" spans="1:9" s="900" customFormat="1" x14ac:dyDescent="0.25">
      <c r="A10" s="893">
        <v>1</v>
      </c>
      <c r="B10" s="894">
        <v>2</v>
      </c>
      <c r="C10" s="895">
        <v>3</v>
      </c>
      <c r="D10" s="896">
        <v>4</v>
      </c>
      <c r="E10" s="897">
        <v>5</v>
      </c>
      <c r="F10" s="898">
        <v>6</v>
      </c>
      <c r="G10" s="899"/>
      <c r="H10" s="899"/>
    </row>
    <row r="11" spans="1:9" s="906" customFormat="1" ht="13.8" x14ac:dyDescent="0.25">
      <c r="A11" s="901">
        <v>10000000</v>
      </c>
      <c r="B11" s="902" t="s">
        <v>698</v>
      </c>
      <c r="C11" s="903">
        <f>D11+E11</f>
        <v>3961825800</v>
      </c>
      <c r="D11" s="904">
        <f>D12+D26+D35+D65+D43</f>
        <v>3936825800</v>
      </c>
      <c r="E11" s="904">
        <f>E12+E26+E35+E65+E43</f>
        <v>25000000</v>
      </c>
      <c r="F11" s="904">
        <f>F12+F26+F35+F65+F43</f>
        <v>0</v>
      </c>
      <c r="G11" s="905"/>
      <c r="H11" s="905"/>
    </row>
    <row r="12" spans="1:9" ht="13.8" x14ac:dyDescent="0.25">
      <c r="A12" s="907">
        <v>11000000</v>
      </c>
      <c r="B12" s="908" t="s">
        <v>13</v>
      </c>
      <c r="C12" s="903">
        <f t="shared" ref="C12:C35" si="0">D12+E12</f>
        <v>2274482100</v>
      </c>
      <c r="D12" s="904">
        <f>D13+D21</f>
        <v>2274482100</v>
      </c>
      <c r="E12" s="904">
        <f>E13+E21</f>
        <v>0</v>
      </c>
      <c r="F12" s="903">
        <f>F13+F21</f>
        <v>0</v>
      </c>
      <c r="G12" s="909"/>
      <c r="I12" s="910"/>
    </row>
    <row r="13" spans="1:9" s="912" customFormat="1" ht="13.8" x14ac:dyDescent="0.25">
      <c r="A13" s="907">
        <v>11010000</v>
      </c>
      <c r="B13" s="911" t="s">
        <v>14</v>
      </c>
      <c r="C13" s="903">
        <f>D13+E13</f>
        <v>2271582100</v>
      </c>
      <c r="D13" s="904">
        <f>D14+D16+D17+D18+D19</f>
        <v>2271582100</v>
      </c>
      <c r="E13" s="904"/>
      <c r="F13" s="903">
        <f>SUM(F14:F17)</f>
        <v>0</v>
      </c>
      <c r="G13" s="909"/>
      <c r="H13" s="879"/>
      <c r="I13" s="910"/>
    </row>
    <row r="14" spans="1:9" s="912" customFormat="1" ht="26.4" x14ac:dyDescent="0.25">
      <c r="A14" s="913">
        <v>11010100</v>
      </c>
      <c r="B14" s="914" t="s">
        <v>15</v>
      </c>
      <c r="C14" s="915">
        <f t="shared" si="0"/>
        <v>2156789100</v>
      </c>
      <c r="D14" s="916">
        <v>2156789100</v>
      </c>
      <c r="E14" s="904"/>
      <c r="F14" s="903"/>
      <c r="G14" s="909"/>
      <c r="H14" s="879"/>
      <c r="I14" s="910"/>
    </row>
    <row r="15" spans="1:9" s="912" customFormat="1" ht="39.6" hidden="1" x14ac:dyDescent="0.25">
      <c r="A15" s="913">
        <v>11010200</v>
      </c>
      <c r="B15" s="914" t="s">
        <v>699</v>
      </c>
      <c r="C15" s="915">
        <f>D15+E15</f>
        <v>0</v>
      </c>
      <c r="D15" s="916"/>
      <c r="E15" s="904"/>
      <c r="F15" s="903"/>
      <c r="G15" s="909"/>
      <c r="H15" s="879"/>
      <c r="I15" s="910"/>
    </row>
    <row r="16" spans="1:9" s="912" customFormat="1" ht="26.4" x14ac:dyDescent="0.25">
      <c r="A16" s="913">
        <v>11010400</v>
      </c>
      <c r="B16" s="914" t="s">
        <v>700</v>
      </c>
      <c r="C16" s="915">
        <f t="shared" si="0"/>
        <v>51590000</v>
      </c>
      <c r="D16" s="916">
        <v>51590000</v>
      </c>
      <c r="E16" s="904"/>
      <c r="F16" s="903"/>
      <c r="G16" s="909"/>
      <c r="H16" s="879"/>
      <c r="I16" s="910"/>
    </row>
    <row r="17" spans="1:9" s="912" customFormat="1" ht="26.4" x14ac:dyDescent="0.25">
      <c r="A17" s="913">
        <v>11010500</v>
      </c>
      <c r="B17" s="914" t="s">
        <v>20</v>
      </c>
      <c r="C17" s="915">
        <f t="shared" si="0"/>
        <v>59400000</v>
      </c>
      <c r="D17" s="916">
        <v>59400000</v>
      </c>
      <c r="E17" s="904"/>
      <c r="F17" s="903"/>
      <c r="G17" s="909"/>
      <c r="H17" s="879"/>
      <c r="I17" s="910"/>
    </row>
    <row r="18" spans="1:9" s="912" customFormat="1" ht="13.8" x14ac:dyDescent="0.25">
      <c r="A18" s="913">
        <v>11011200</v>
      </c>
      <c r="B18" s="914" t="s">
        <v>22</v>
      </c>
      <c r="C18" s="915">
        <f t="shared" si="0"/>
        <v>3603000</v>
      </c>
      <c r="D18" s="916">
        <v>3603000</v>
      </c>
      <c r="E18" s="904"/>
      <c r="F18" s="903"/>
      <c r="G18" s="909"/>
      <c r="H18" s="879"/>
      <c r="I18" s="910"/>
    </row>
    <row r="19" spans="1:9" s="912" customFormat="1" ht="26.4" x14ac:dyDescent="0.25">
      <c r="A19" s="913">
        <v>11011300</v>
      </c>
      <c r="B19" s="914" t="s">
        <v>24</v>
      </c>
      <c r="C19" s="915">
        <f t="shared" si="0"/>
        <v>200000</v>
      </c>
      <c r="D19" s="916">
        <v>200000</v>
      </c>
      <c r="E19" s="904"/>
      <c r="F19" s="903"/>
      <c r="G19" s="909"/>
      <c r="H19" s="879"/>
      <c r="I19" s="910"/>
    </row>
    <row r="20" spans="1:9" s="912" customFormat="1" ht="39.6" hidden="1" x14ac:dyDescent="0.25">
      <c r="A20" s="917">
        <v>11010900</v>
      </c>
      <c r="B20" s="918" t="s">
        <v>701</v>
      </c>
      <c r="C20" s="915">
        <f t="shared" si="0"/>
        <v>0</v>
      </c>
      <c r="D20" s="916"/>
      <c r="E20" s="904"/>
      <c r="F20" s="903"/>
      <c r="G20" s="909"/>
      <c r="H20" s="879"/>
      <c r="I20" s="910"/>
    </row>
    <row r="21" spans="1:9" s="912" customFormat="1" ht="13.8" x14ac:dyDescent="0.25">
      <c r="A21" s="907">
        <v>11020000</v>
      </c>
      <c r="B21" s="908" t="s">
        <v>26</v>
      </c>
      <c r="C21" s="903">
        <f t="shared" si="0"/>
        <v>2900000</v>
      </c>
      <c r="D21" s="904">
        <f>D22+D23</f>
        <v>2900000</v>
      </c>
      <c r="E21" s="904"/>
      <c r="F21" s="903"/>
      <c r="G21" s="919"/>
      <c r="H21" s="919"/>
    </row>
    <row r="22" spans="1:9" ht="13.8" x14ac:dyDescent="0.25">
      <c r="A22" s="920">
        <v>11020200</v>
      </c>
      <c r="B22" s="914" t="s">
        <v>702</v>
      </c>
      <c r="C22" s="915">
        <f t="shared" si="0"/>
        <v>2900000</v>
      </c>
      <c r="D22" s="921">
        <v>2900000</v>
      </c>
      <c r="E22" s="921"/>
      <c r="F22" s="915"/>
    </row>
    <row r="23" spans="1:9" ht="26.4" hidden="1" x14ac:dyDescent="0.25">
      <c r="A23" s="922">
        <v>11023200</v>
      </c>
      <c r="B23" s="918" t="s">
        <v>28</v>
      </c>
      <c r="C23" s="915">
        <f t="shared" si="0"/>
        <v>0</v>
      </c>
      <c r="D23" s="921">
        <v>0</v>
      </c>
      <c r="E23" s="921"/>
      <c r="F23" s="915"/>
    </row>
    <row r="24" spans="1:9" s="912" customFormat="1" ht="13.8" hidden="1" x14ac:dyDescent="0.25">
      <c r="A24" s="907">
        <v>12000000</v>
      </c>
      <c r="B24" s="908" t="s">
        <v>29</v>
      </c>
      <c r="C24" s="903">
        <f t="shared" si="0"/>
        <v>0</v>
      </c>
      <c r="D24" s="904"/>
      <c r="E24" s="904"/>
      <c r="F24" s="903"/>
      <c r="G24" s="919"/>
      <c r="H24" s="919"/>
    </row>
    <row r="25" spans="1:9" s="924" customFormat="1" ht="13.8" hidden="1" x14ac:dyDescent="0.25">
      <c r="A25" s="922"/>
      <c r="B25" s="918"/>
      <c r="C25" s="903">
        <f t="shared" si="0"/>
        <v>0</v>
      </c>
      <c r="D25" s="921"/>
      <c r="E25" s="921"/>
      <c r="F25" s="915"/>
      <c r="G25" s="923"/>
      <c r="H25" s="923"/>
    </row>
    <row r="26" spans="1:9" s="912" customFormat="1" ht="13.8" x14ac:dyDescent="0.25">
      <c r="A26" s="907">
        <v>13000000</v>
      </c>
      <c r="B26" s="925" t="s">
        <v>32</v>
      </c>
      <c r="C26" s="903">
        <f t="shared" si="0"/>
        <v>63700</v>
      </c>
      <c r="D26" s="904">
        <f>D31+D29+D33+D27</f>
        <v>63700</v>
      </c>
      <c r="E26" s="904"/>
      <c r="F26" s="903"/>
      <c r="G26" s="919"/>
      <c r="H26" s="919"/>
    </row>
    <row r="27" spans="1:9" s="912" customFormat="1" ht="13.8" x14ac:dyDescent="0.25">
      <c r="A27" s="907">
        <v>13010000</v>
      </c>
      <c r="B27" s="925" t="s">
        <v>33</v>
      </c>
      <c r="C27" s="903">
        <f>D27</f>
        <v>1500</v>
      </c>
      <c r="D27" s="904">
        <f>D28</f>
        <v>1500</v>
      </c>
      <c r="E27" s="904"/>
      <c r="F27" s="903"/>
      <c r="G27" s="919"/>
      <c r="H27" s="919"/>
    </row>
    <row r="28" spans="1:9" s="912" customFormat="1" ht="39.6" x14ac:dyDescent="0.25">
      <c r="A28" s="926">
        <v>13010200</v>
      </c>
      <c r="B28" s="918" t="s">
        <v>703</v>
      </c>
      <c r="C28" s="915">
        <f>D28</f>
        <v>1500</v>
      </c>
      <c r="D28" s="921">
        <v>1500</v>
      </c>
      <c r="E28" s="904"/>
      <c r="F28" s="903"/>
      <c r="G28" s="919"/>
      <c r="H28" s="919"/>
    </row>
    <row r="29" spans="1:9" s="912" customFormat="1" ht="13.8" x14ac:dyDescent="0.25">
      <c r="A29" s="927">
        <v>13020000</v>
      </c>
      <c r="B29" s="925" t="s">
        <v>704</v>
      </c>
      <c r="C29" s="903">
        <f>D29</f>
        <v>1000</v>
      </c>
      <c r="D29" s="904">
        <f>D30</f>
        <v>1000</v>
      </c>
      <c r="E29" s="904"/>
      <c r="F29" s="903"/>
      <c r="G29" s="919"/>
      <c r="H29" s="919"/>
    </row>
    <row r="30" spans="1:9" s="912" customFormat="1" ht="13.8" x14ac:dyDescent="0.25">
      <c r="A30" s="926">
        <v>13020200</v>
      </c>
      <c r="B30" s="918" t="s">
        <v>705</v>
      </c>
      <c r="C30" s="915">
        <f>D30</f>
        <v>1000</v>
      </c>
      <c r="D30" s="921">
        <v>1000</v>
      </c>
      <c r="E30" s="904"/>
      <c r="F30" s="903"/>
      <c r="G30" s="919"/>
      <c r="H30" s="919"/>
    </row>
    <row r="31" spans="1:9" s="930" customFormat="1" ht="13.8" x14ac:dyDescent="0.25">
      <c r="A31" s="928">
        <v>13030000</v>
      </c>
      <c r="B31" s="925" t="s">
        <v>706</v>
      </c>
      <c r="C31" s="903">
        <f t="shared" si="0"/>
        <v>60200</v>
      </c>
      <c r="D31" s="904">
        <f>D32</f>
        <v>60200</v>
      </c>
      <c r="E31" s="904"/>
      <c r="F31" s="903"/>
      <c r="G31" s="929"/>
      <c r="H31" s="929"/>
    </row>
    <row r="32" spans="1:9" s="930" customFormat="1" ht="26.4" x14ac:dyDescent="0.25">
      <c r="A32" s="931">
        <v>13030100</v>
      </c>
      <c r="B32" s="932" t="s">
        <v>707</v>
      </c>
      <c r="C32" s="915">
        <f t="shared" si="0"/>
        <v>60200</v>
      </c>
      <c r="D32" s="921">
        <v>60200</v>
      </c>
      <c r="E32" s="904"/>
      <c r="F32" s="903"/>
      <c r="G32" s="929"/>
      <c r="H32" s="929"/>
    </row>
    <row r="33" spans="1:8" s="930" customFormat="1" ht="13.8" x14ac:dyDescent="0.25">
      <c r="A33" s="928">
        <v>13040000</v>
      </c>
      <c r="B33" s="925" t="s">
        <v>708</v>
      </c>
      <c r="C33" s="903">
        <f t="shared" si="0"/>
        <v>1000</v>
      </c>
      <c r="D33" s="904">
        <f>D34</f>
        <v>1000</v>
      </c>
      <c r="E33" s="904"/>
      <c r="F33" s="903"/>
      <c r="G33" s="929"/>
      <c r="H33" s="929"/>
    </row>
    <row r="34" spans="1:8" s="930" customFormat="1" ht="26.4" x14ac:dyDescent="0.25">
      <c r="A34" s="922">
        <v>13040100</v>
      </c>
      <c r="B34" s="918" t="s">
        <v>709</v>
      </c>
      <c r="C34" s="915">
        <f t="shared" si="0"/>
        <v>1000</v>
      </c>
      <c r="D34" s="921">
        <v>1000</v>
      </c>
      <c r="E34" s="921"/>
      <c r="F34" s="915"/>
      <c r="G34" s="929"/>
      <c r="H34" s="929"/>
    </row>
    <row r="35" spans="1:8" s="930" customFormat="1" ht="13.8" x14ac:dyDescent="0.25">
      <c r="A35" s="933">
        <v>14000000</v>
      </c>
      <c r="B35" s="934" t="s">
        <v>710</v>
      </c>
      <c r="C35" s="903">
        <f t="shared" si="0"/>
        <v>473650000</v>
      </c>
      <c r="D35" s="904">
        <f>D36+D38+D40</f>
        <v>473650000</v>
      </c>
      <c r="E35" s="921"/>
      <c r="F35" s="915"/>
      <c r="G35" s="929"/>
      <c r="H35" s="929"/>
    </row>
    <row r="36" spans="1:8" s="930" customFormat="1" ht="13.8" x14ac:dyDescent="0.25">
      <c r="A36" s="933">
        <v>14020000</v>
      </c>
      <c r="B36" s="934" t="s">
        <v>39</v>
      </c>
      <c r="C36" s="903">
        <f>D36+E36</f>
        <v>25460000</v>
      </c>
      <c r="D36" s="904">
        <f>D37</f>
        <v>25460000</v>
      </c>
      <c r="E36" s="921"/>
      <c r="F36" s="915"/>
      <c r="G36" s="929"/>
      <c r="H36" s="929"/>
    </row>
    <row r="37" spans="1:8" s="938" customFormat="1" ht="13.8" x14ac:dyDescent="0.25">
      <c r="A37" s="935">
        <v>14021900</v>
      </c>
      <c r="B37" s="936" t="s">
        <v>41</v>
      </c>
      <c r="C37" s="915">
        <f>D37</f>
        <v>25460000</v>
      </c>
      <c r="D37" s="921">
        <v>25460000</v>
      </c>
      <c r="E37" s="921"/>
      <c r="F37" s="915"/>
      <c r="G37" s="937"/>
      <c r="H37" s="937"/>
    </row>
    <row r="38" spans="1:8" s="930" customFormat="1" ht="26.4" x14ac:dyDescent="0.25">
      <c r="A38" s="933">
        <v>14030000</v>
      </c>
      <c r="B38" s="934" t="s">
        <v>43</v>
      </c>
      <c r="C38" s="903">
        <f>D38+E38</f>
        <v>181280000</v>
      </c>
      <c r="D38" s="904">
        <f>D39</f>
        <v>181280000</v>
      </c>
      <c r="E38" s="904"/>
      <c r="F38" s="903"/>
      <c r="G38" s="929"/>
      <c r="H38" s="929"/>
    </row>
    <row r="39" spans="1:8" s="938" customFormat="1" ht="13.8" x14ac:dyDescent="0.25">
      <c r="A39" s="935">
        <v>14031900</v>
      </c>
      <c r="B39" s="936" t="s">
        <v>41</v>
      </c>
      <c r="C39" s="915">
        <f>D39</f>
        <v>181280000</v>
      </c>
      <c r="D39" s="921">
        <v>181280000</v>
      </c>
      <c r="E39" s="921"/>
      <c r="F39" s="915"/>
      <c r="G39" s="937"/>
      <c r="H39" s="937"/>
    </row>
    <row r="40" spans="1:8" s="938" customFormat="1" ht="26.4" x14ac:dyDescent="0.25">
      <c r="A40" s="939">
        <v>14040000</v>
      </c>
      <c r="B40" s="925" t="s">
        <v>711</v>
      </c>
      <c r="C40" s="903">
        <f>D40+E40</f>
        <v>266910000</v>
      </c>
      <c r="D40" s="904">
        <f>D41+D42</f>
        <v>266910000</v>
      </c>
      <c r="E40" s="921"/>
      <c r="F40" s="915"/>
      <c r="G40" s="937"/>
      <c r="H40" s="937"/>
    </row>
    <row r="41" spans="1:8" s="938" customFormat="1" ht="52.8" x14ac:dyDescent="0.25">
      <c r="A41" s="940">
        <v>14040100</v>
      </c>
      <c r="B41" s="918" t="s">
        <v>47</v>
      </c>
      <c r="C41" s="915">
        <f>D41</f>
        <v>164230000</v>
      </c>
      <c r="D41" s="921">
        <v>164230000</v>
      </c>
      <c r="E41" s="921"/>
      <c r="F41" s="915"/>
      <c r="G41" s="937"/>
      <c r="H41" s="937"/>
    </row>
    <row r="42" spans="1:8" s="938" customFormat="1" ht="39.6" x14ac:dyDescent="0.25">
      <c r="A42" s="940">
        <v>14040200</v>
      </c>
      <c r="B42" s="918" t="s">
        <v>712</v>
      </c>
      <c r="C42" s="915">
        <f>D42</f>
        <v>102680000</v>
      </c>
      <c r="D42" s="921">
        <v>102680000</v>
      </c>
      <c r="E42" s="921"/>
      <c r="F42" s="915"/>
      <c r="G42" s="937"/>
      <c r="H42" s="937"/>
    </row>
    <row r="43" spans="1:8" s="912" customFormat="1" ht="26.4" x14ac:dyDescent="0.25">
      <c r="A43" s="907">
        <v>18000000</v>
      </c>
      <c r="B43" s="908" t="s">
        <v>713</v>
      </c>
      <c r="C43" s="903">
        <f>D43+E43</f>
        <v>1188630000</v>
      </c>
      <c r="D43" s="904">
        <f>D44+D58+D61</f>
        <v>1188630000</v>
      </c>
      <c r="E43" s="904">
        <f>E44+E58+E61</f>
        <v>0</v>
      </c>
      <c r="F43" s="904">
        <f>F44+F58+F61</f>
        <v>0</v>
      </c>
      <c r="G43" s="919"/>
      <c r="H43" s="919"/>
    </row>
    <row r="44" spans="1:8" s="930" customFormat="1" ht="13.8" x14ac:dyDescent="0.25">
      <c r="A44" s="941" t="s">
        <v>714</v>
      </c>
      <c r="B44" s="942" t="s">
        <v>715</v>
      </c>
      <c r="C44" s="903">
        <f>D44+E44</f>
        <v>381857000</v>
      </c>
      <c r="D44" s="904">
        <f>D46+D47+D48+D49+D51+D52+D53+D54+D56+D57</f>
        <v>381857000</v>
      </c>
      <c r="E44" s="904">
        <f>E46+E47+E48+E49+E51+E52+E53+E54+E56+E57</f>
        <v>0</v>
      </c>
      <c r="F44" s="904">
        <f>F46+F47+F48+F49+F51+F52+F53+F54+F56+F57</f>
        <v>0</v>
      </c>
      <c r="G44" s="929"/>
      <c r="H44" s="929"/>
    </row>
    <row r="45" spans="1:8" s="930" customFormat="1" ht="13.8" hidden="1" x14ac:dyDescent="0.25">
      <c r="A45" s="941"/>
      <c r="B45" s="943" t="s">
        <v>716</v>
      </c>
      <c r="C45" s="903">
        <f>D45</f>
        <v>109907000</v>
      </c>
      <c r="D45" s="904">
        <f>SUM(D46:D49)</f>
        <v>109907000</v>
      </c>
      <c r="E45" s="904"/>
      <c r="F45" s="903"/>
      <c r="G45" s="929"/>
      <c r="H45" s="929"/>
    </row>
    <row r="46" spans="1:8" s="919" customFormat="1" ht="26.4" x14ac:dyDescent="0.25">
      <c r="A46" s="944">
        <v>18010100</v>
      </c>
      <c r="B46" s="945" t="s">
        <v>717</v>
      </c>
      <c r="C46" s="915">
        <f>D46+E46</f>
        <v>1059000</v>
      </c>
      <c r="D46" s="946">
        <v>1059000</v>
      </c>
      <c r="E46" s="947"/>
      <c r="F46" s="915">
        <f>E46</f>
        <v>0</v>
      </c>
      <c r="G46" s="948"/>
    </row>
    <row r="47" spans="1:8" s="919" customFormat="1" ht="26.4" x14ac:dyDescent="0.25">
      <c r="A47" s="944">
        <v>18010200</v>
      </c>
      <c r="B47" s="945" t="s">
        <v>718</v>
      </c>
      <c r="C47" s="915">
        <f>D47+E47</f>
        <v>10706000</v>
      </c>
      <c r="D47" s="946">
        <v>10706000</v>
      </c>
      <c r="E47" s="947"/>
      <c r="F47" s="915">
        <f>E47</f>
        <v>0</v>
      </c>
    </row>
    <row r="48" spans="1:8" s="950" customFormat="1" ht="26.4" x14ac:dyDescent="0.25">
      <c r="A48" s="949">
        <v>18010300</v>
      </c>
      <c r="B48" s="945" t="s">
        <v>719</v>
      </c>
      <c r="C48" s="915">
        <f>D48+E48</f>
        <v>8542000</v>
      </c>
      <c r="D48" s="946">
        <v>8542000</v>
      </c>
      <c r="E48" s="947"/>
      <c r="F48" s="915"/>
      <c r="H48" s="951"/>
    </row>
    <row r="49" spans="1:8" s="950" customFormat="1" ht="26.4" x14ac:dyDescent="0.25">
      <c r="A49" s="949">
        <v>18010400</v>
      </c>
      <c r="B49" s="945" t="s">
        <v>720</v>
      </c>
      <c r="C49" s="915">
        <f>D49+E49</f>
        <v>89600000</v>
      </c>
      <c r="D49" s="921">
        <v>89600000</v>
      </c>
      <c r="E49" s="921"/>
      <c r="F49" s="915"/>
    </row>
    <row r="50" spans="1:8" s="954" customFormat="1" ht="14.4" hidden="1" x14ac:dyDescent="0.3">
      <c r="A50" s="926"/>
      <c r="B50" s="952" t="s">
        <v>721</v>
      </c>
      <c r="C50" s="903">
        <f>D50</f>
        <v>270100000</v>
      </c>
      <c r="D50" s="953">
        <f>SUM(D51:D54)</f>
        <v>270100000</v>
      </c>
      <c r="E50" s="921"/>
      <c r="F50" s="915"/>
      <c r="G50" s="950"/>
      <c r="H50" s="950"/>
    </row>
    <row r="51" spans="1:8" s="954" customFormat="1" ht="13.8" x14ac:dyDescent="0.25">
      <c r="A51" s="926">
        <v>18010500</v>
      </c>
      <c r="B51" s="914" t="s">
        <v>722</v>
      </c>
      <c r="C51" s="915">
        <f>D51+E51</f>
        <v>55700000</v>
      </c>
      <c r="D51" s="915">
        <v>55700000</v>
      </c>
      <c r="E51" s="921"/>
      <c r="F51" s="915"/>
      <c r="G51" s="951"/>
      <c r="H51" s="950"/>
    </row>
    <row r="52" spans="1:8" s="954" customFormat="1" ht="13.8" x14ac:dyDescent="0.25">
      <c r="A52" s="926">
        <v>18010600</v>
      </c>
      <c r="B52" s="914" t="s">
        <v>723</v>
      </c>
      <c r="C52" s="915">
        <f>D52+E52</f>
        <v>168100000</v>
      </c>
      <c r="D52" s="915">
        <v>168100000</v>
      </c>
      <c r="E52" s="921"/>
      <c r="F52" s="915"/>
      <c r="G52" s="950"/>
      <c r="H52" s="950"/>
    </row>
    <row r="53" spans="1:8" s="954" customFormat="1" ht="13.8" x14ac:dyDescent="0.25">
      <c r="A53" s="926">
        <v>18010700</v>
      </c>
      <c r="B53" s="914" t="s">
        <v>724</v>
      </c>
      <c r="C53" s="915">
        <f>D53+E53</f>
        <v>5050000</v>
      </c>
      <c r="D53" s="915">
        <v>5050000</v>
      </c>
      <c r="E53" s="921"/>
      <c r="F53" s="915"/>
      <c r="G53" s="950"/>
      <c r="H53" s="950"/>
    </row>
    <row r="54" spans="1:8" s="954" customFormat="1" ht="13.8" x14ac:dyDescent="0.25">
      <c r="A54" s="926">
        <v>18010900</v>
      </c>
      <c r="B54" s="914" t="s">
        <v>725</v>
      </c>
      <c r="C54" s="915">
        <f>D54+E54</f>
        <v>41250000</v>
      </c>
      <c r="D54" s="915">
        <v>41250000</v>
      </c>
      <c r="E54" s="921"/>
      <c r="F54" s="915"/>
      <c r="G54" s="950"/>
      <c r="H54" s="950"/>
    </row>
    <row r="55" spans="1:8" s="958" customFormat="1" ht="14.4" hidden="1" x14ac:dyDescent="0.3">
      <c r="A55" s="955"/>
      <c r="B55" s="952" t="s">
        <v>726</v>
      </c>
      <c r="C55" s="956">
        <f>D55</f>
        <v>1850000</v>
      </c>
      <c r="D55" s="953">
        <f>SUM(D56:D57)</f>
        <v>1850000</v>
      </c>
      <c r="E55" s="953"/>
      <c r="F55" s="956"/>
      <c r="G55" s="957"/>
      <c r="H55" s="957"/>
    </row>
    <row r="56" spans="1:8" s="954" customFormat="1" ht="13.8" x14ac:dyDescent="0.25">
      <c r="A56" s="926">
        <v>18011000</v>
      </c>
      <c r="B56" s="914" t="s">
        <v>727</v>
      </c>
      <c r="C56" s="915">
        <f t="shared" ref="C56:C127" si="1">D56+E56</f>
        <v>1250000</v>
      </c>
      <c r="D56" s="921">
        <v>1250000</v>
      </c>
      <c r="E56" s="921"/>
      <c r="F56" s="915"/>
      <c r="G56" s="951"/>
      <c r="H56" s="950"/>
    </row>
    <row r="57" spans="1:8" s="954" customFormat="1" ht="13.8" x14ac:dyDescent="0.25">
      <c r="A57" s="926">
        <v>18011100</v>
      </c>
      <c r="B57" s="914" t="s">
        <v>728</v>
      </c>
      <c r="C57" s="915">
        <f t="shared" si="1"/>
        <v>600000</v>
      </c>
      <c r="D57" s="921">
        <v>600000</v>
      </c>
      <c r="E57" s="921"/>
      <c r="F57" s="915"/>
      <c r="G57" s="950"/>
      <c r="H57" s="950"/>
    </row>
    <row r="58" spans="1:8" s="954" customFormat="1" ht="13.8" x14ac:dyDescent="0.25">
      <c r="A58" s="927">
        <v>18030000</v>
      </c>
      <c r="B58" s="925" t="s">
        <v>81</v>
      </c>
      <c r="C58" s="903">
        <f t="shared" si="1"/>
        <v>1700000</v>
      </c>
      <c r="D58" s="904">
        <f>D59+D60</f>
        <v>1700000</v>
      </c>
      <c r="E58" s="904"/>
      <c r="F58" s="903"/>
      <c r="G58" s="950"/>
      <c r="H58" s="950"/>
    </row>
    <row r="59" spans="1:8" s="954" customFormat="1" ht="13.8" x14ac:dyDescent="0.25">
      <c r="A59" s="926">
        <v>18030100</v>
      </c>
      <c r="B59" s="918" t="s">
        <v>729</v>
      </c>
      <c r="C59" s="915">
        <f t="shared" si="1"/>
        <v>1200000</v>
      </c>
      <c r="D59" s="916">
        <v>1200000</v>
      </c>
      <c r="E59" s="921"/>
      <c r="F59" s="915"/>
      <c r="G59" s="950"/>
      <c r="H59" s="950"/>
    </row>
    <row r="60" spans="1:8" s="960" customFormat="1" ht="13.8" x14ac:dyDescent="0.25">
      <c r="A60" s="926">
        <v>18030200</v>
      </c>
      <c r="B60" s="918" t="s">
        <v>730</v>
      </c>
      <c r="C60" s="915">
        <f t="shared" si="1"/>
        <v>500000</v>
      </c>
      <c r="D60" s="916">
        <v>500000</v>
      </c>
      <c r="E60" s="921"/>
      <c r="F60" s="903"/>
      <c r="G60" s="959"/>
      <c r="H60" s="959"/>
    </row>
    <row r="61" spans="1:8" s="930" customFormat="1" ht="13.8" x14ac:dyDescent="0.25">
      <c r="A61" s="927">
        <v>18050000</v>
      </c>
      <c r="B61" s="925" t="s">
        <v>87</v>
      </c>
      <c r="C61" s="903">
        <f t="shared" si="1"/>
        <v>805073000</v>
      </c>
      <c r="D61" s="904">
        <f>SUM(D62:D64)</f>
        <v>805073000</v>
      </c>
      <c r="E61" s="904">
        <f>E62+E63</f>
        <v>0</v>
      </c>
      <c r="F61" s="903">
        <f>E61</f>
        <v>0</v>
      </c>
      <c r="G61" s="929"/>
      <c r="H61" s="929"/>
    </row>
    <row r="62" spans="1:8" s="962" customFormat="1" ht="13.8" x14ac:dyDescent="0.25">
      <c r="A62" s="920">
        <v>18050300</v>
      </c>
      <c r="B62" s="914" t="s">
        <v>731</v>
      </c>
      <c r="C62" s="915">
        <f t="shared" si="1"/>
        <v>118068000</v>
      </c>
      <c r="D62" s="921">
        <v>118068000</v>
      </c>
      <c r="E62" s="921"/>
      <c r="F62" s="915"/>
      <c r="G62" s="961"/>
      <c r="H62" s="961"/>
    </row>
    <row r="63" spans="1:8" s="962" customFormat="1" ht="13.8" x14ac:dyDescent="0.25">
      <c r="A63" s="920">
        <v>18050400</v>
      </c>
      <c r="B63" s="914" t="s">
        <v>732</v>
      </c>
      <c r="C63" s="915">
        <f t="shared" si="1"/>
        <v>686895000</v>
      </c>
      <c r="D63" s="921">
        <v>686895000</v>
      </c>
      <c r="E63" s="921"/>
      <c r="F63" s="915"/>
      <c r="G63" s="961"/>
      <c r="H63" s="961"/>
    </row>
    <row r="64" spans="1:8" s="962" customFormat="1" ht="39.6" x14ac:dyDescent="0.25">
      <c r="A64" s="963">
        <v>18050500</v>
      </c>
      <c r="B64" s="964" t="s">
        <v>733</v>
      </c>
      <c r="C64" s="915">
        <f t="shared" si="1"/>
        <v>110000</v>
      </c>
      <c r="D64" s="921">
        <v>110000</v>
      </c>
      <c r="E64" s="921"/>
      <c r="F64" s="915"/>
      <c r="G64" s="961"/>
      <c r="H64" s="961"/>
    </row>
    <row r="65" spans="1:8" s="912" customFormat="1" ht="13.8" x14ac:dyDescent="0.25">
      <c r="A65" s="907">
        <v>19000000</v>
      </c>
      <c r="B65" s="965" t="s">
        <v>734</v>
      </c>
      <c r="C65" s="903">
        <f t="shared" si="1"/>
        <v>25000000</v>
      </c>
      <c r="D65" s="904">
        <f>D66</f>
        <v>0</v>
      </c>
      <c r="E65" s="904">
        <f>E66</f>
        <v>25000000</v>
      </c>
      <c r="F65" s="904">
        <f>F66</f>
        <v>0</v>
      </c>
      <c r="G65" s="919"/>
      <c r="H65" s="919"/>
    </row>
    <row r="66" spans="1:8" s="912" customFormat="1" ht="13.8" x14ac:dyDescent="0.25">
      <c r="A66" s="907">
        <v>19010000</v>
      </c>
      <c r="B66" s="965" t="s">
        <v>95</v>
      </c>
      <c r="C66" s="903">
        <f t="shared" si="1"/>
        <v>25000000</v>
      </c>
      <c r="D66" s="904">
        <f>SUM(D67:D74)</f>
        <v>0</v>
      </c>
      <c r="E66" s="904">
        <f>SUM(E67:E74)</f>
        <v>25000000</v>
      </c>
      <c r="F66" s="904">
        <f>SUM(F67:F74)</f>
        <v>0</v>
      </c>
      <c r="G66" s="919"/>
      <c r="H66" s="919"/>
    </row>
    <row r="67" spans="1:8" s="962" customFormat="1" ht="39.6" x14ac:dyDescent="0.25">
      <c r="A67" s="920">
        <v>19010100</v>
      </c>
      <c r="B67" s="914" t="s">
        <v>96</v>
      </c>
      <c r="C67" s="915">
        <f t="shared" si="1"/>
        <v>24863000</v>
      </c>
      <c r="D67" s="966"/>
      <c r="E67" s="915">
        <v>24863000</v>
      </c>
      <c r="F67" s="915"/>
      <c r="G67" s="961"/>
      <c r="H67" s="961"/>
    </row>
    <row r="68" spans="1:8" s="962" customFormat="1" ht="13.8" x14ac:dyDescent="0.25">
      <c r="A68" s="913">
        <v>19010200</v>
      </c>
      <c r="B68" s="914" t="s">
        <v>98</v>
      </c>
      <c r="C68" s="915">
        <f t="shared" si="1"/>
        <v>110000</v>
      </c>
      <c r="D68" s="966"/>
      <c r="E68" s="915">
        <v>110000</v>
      </c>
      <c r="F68" s="915"/>
      <c r="G68" s="961"/>
      <c r="H68" s="961"/>
    </row>
    <row r="69" spans="1:8" s="962" customFormat="1" ht="26.4" x14ac:dyDescent="0.25">
      <c r="A69" s="920">
        <v>19010300</v>
      </c>
      <c r="B69" s="914" t="s">
        <v>735</v>
      </c>
      <c r="C69" s="915">
        <f t="shared" si="1"/>
        <v>27000</v>
      </c>
      <c r="D69" s="966"/>
      <c r="E69" s="915">
        <v>27000</v>
      </c>
      <c r="F69" s="915"/>
      <c r="G69" s="961"/>
      <c r="H69" s="961"/>
    </row>
    <row r="70" spans="1:8" s="962" customFormat="1" ht="25.95" hidden="1" customHeight="1" x14ac:dyDescent="0.25">
      <c r="A70" s="920">
        <v>19010500</v>
      </c>
      <c r="B70" s="967" t="s">
        <v>736</v>
      </c>
      <c r="C70" s="915">
        <f t="shared" si="1"/>
        <v>0</v>
      </c>
      <c r="D70" s="921">
        <v>0</v>
      </c>
      <c r="E70" s="921"/>
      <c r="F70" s="915"/>
      <c r="G70" s="961"/>
      <c r="H70" s="961"/>
    </row>
    <row r="71" spans="1:8" s="912" customFormat="1" ht="13.05" hidden="1" customHeight="1" x14ac:dyDescent="0.25">
      <c r="A71" s="968" t="s">
        <v>737</v>
      </c>
      <c r="B71" s="969" t="s">
        <v>738</v>
      </c>
      <c r="C71" s="915">
        <f t="shared" si="1"/>
        <v>0</v>
      </c>
      <c r="D71" s="921"/>
      <c r="E71" s="904"/>
      <c r="F71" s="915"/>
      <c r="G71" s="919"/>
      <c r="H71" s="919"/>
    </row>
    <row r="72" spans="1:8" s="912" customFormat="1" ht="25.95" hidden="1" customHeight="1" x14ac:dyDescent="0.25">
      <c r="A72" s="970" t="s">
        <v>739</v>
      </c>
      <c r="B72" s="971" t="s">
        <v>740</v>
      </c>
      <c r="C72" s="915">
        <f t="shared" si="1"/>
        <v>0</v>
      </c>
      <c r="D72" s="921"/>
      <c r="E72" s="921"/>
      <c r="F72" s="915"/>
      <c r="G72" s="919"/>
      <c r="H72" s="919"/>
    </row>
    <row r="73" spans="1:8" s="912" customFormat="1" ht="25.95" hidden="1" customHeight="1" x14ac:dyDescent="0.25">
      <c r="A73" s="970" t="s">
        <v>741</v>
      </c>
      <c r="B73" s="971" t="s">
        <v>742</v>
      </c>
      <c r="C73" s="915">
        <f t="shared" si="1"/>
        <v>0</v>
      </c>
      <c r="D73" s="921"/>
      <c r="E73" s="921"/>
      <c r="F73" s="915"/>
      <c r="G73" s="919"/>
      <c r="H73" s="919"/>
    </row>
    <row r="74" spans="1:8" s="912" customFormat="1" ht="25.95" hidden="1" customHeight="1" x14ac:dyDescent="0.25">
      <c r="A74" s="970" t="s">
        <v>743</v>
      </c>
      <c r="B74" s="971" t="s">
        <v>744</v>
      </c>
      <c r="C74" s="915">
        <f t="shared" si="1"/>
        <v>0</v>
      </c>
      <c r="D74" s="921"/>
      <c r="E74" s="921"/>
      <c r="F74" s="915"/>
      <c r="G74" s="919"/>
      <c r="H74" s="919"/>
    </row>
    <row r="75" spans="1:8" s="906" customFormat="1" ht="13.8" x14ac:dyDescent="0.25">
      <c r="A75" s="901">
        <v>20000000</v>
      </c>
      <c r="B75" s="902" t="s">
        <v>103</v>
      </c>
      <c r="C75" s="903">
        <f>D75+E75</f>
        <v>224665860</v>
      </c>
      <c r="D75" s="904">
        <f>D76+D88+D100+D115</f>
        <v>76892900</v>
      </c>
      <c r="E75" s="904">
        <f>E76+E88+E100+E115</f>
        <v>147772960</v>
      </c>
      <c r="F75" s="903">
        <f>F76+F88+F100+F115</f>
        <v>189000</v>
      </c>
      <c r="G75" s="905"/>
      <c r="H75" s="905"/>
    </row>
    <row r="76" spans="1:8" ht="13.8" x14ac:dyDescent="0.25">
      <c r="A76" s="907">
        <v>21000000</v>
      </c>
      <c r="B76" s="908" t="s">
        <v>745</v>
      </c>
      <c r="C76" s="903">
        <f t="shared" si="1"/>
        <v>6576900</v>
      </c>
      <c r="D76" s="904">
        <f>D77+D79+D80</f>
        <v>6576900</v>
      </c>
      <c r="E76" s="904">
        <f>E77+E79+E80</f>
        <v>0</v>
      </c>
      <c r="F76" s="903"/>
    </row>
    <row r="77" spans="1:8" ht="52.8" x14ac:dyDescent="0.25">
      <c r="A77" s="907">
        <v>21010000</v>
      </c>
      <c r="B77" s="925" t="s">
        <v>746</v>
      </c>
      <c r="C77" s="903">
        <f t="shared" si="1"/>
        <v>1800000</v>
      </c>
      <c r="D77" s="904">
        <f>D78</f>
        <v>1800000</v>
      </c>
      <c r="E77" s="904"/>
      <c r="F77" s="903"/>
    </row>
    <row r="78" spans="1:8" s="973" customFormat="1" ht="26.4" x14ac:dyDescent="0.25">
      <c r="A78" s="920">
        <v>21010300</v>
      </c>
      <c r="B78" s="914" t="s">
        <v>747</v>
      </c>
      <c r="C78" s="915">
        <f t="shared" si="1"/>
        <v>1800000</v>
      </c>
      <c r="D78" s="921">
        <v>1800000</v>
      </c>
      <c r="E78" s="921"/>
      <c r="F78" s="915"/>
      <c r="G78" s="972"/>
      <c r="H78" s="972"/>
    </row>
    <row r="79" spans="1:8" s="976" customFormat="1" ht="13.8" hidden="1" x14ac:dyDescent="0.25">
      <c r="A79" s="974">
        <v>21050000</v>
      </c>
      <c r="B79" s="975" t="s">
        <v>748</v>
      </c>
      <c r="C79" s="915">
        <f t="shared" si="1"/>
        <v>0</v>
      </c>
      <c r="D79" s="921">
        <v>0</v>
      </c>
      <c r="E79" s="921"/>
      <c r="F79" s="915"/>
      <c r="G79" s="972"/>
      <c r="H79" s="972"/>
    </row>
    <row r="80" spans="1:8" s="960" customFormat="1" ht="13.8" x14ac:dyDescent="0.25">
      <c r="A80" s="927">
        <v>21080000</v>
      </c>
      <c r="B80" s="925" t="s">
        <v>152</v>
      </c>
      <c r="C80" s="903">
        <f t="shared" si="1"/>
        <v>4776900</v>
      </c>
      <c r="D80" s="904">
        <f>D81+D82++D86+D83+D85+D87</f>
        <v>4776900</v>
      </c>
      <c r="E80" s="904"/>
      <c r="F80" s="903"/>
      <c r="G80" s="959"/>
      <c r="H80" s="959"/>
    </row>
    <row r="81" spans="1:8" s="973" customFormat="1" ht="13.8" x14ac:dyDescent="0.25">
      <c r="A81" s="920">
        <v>21080500</v>
      </c>
      <c r="B81" s="914" t="s">
        <v>111</v>
      </c>
      <c r="C81" s="915">
        <f t="shared" si="1"/>
        <v>78000</v>
      </c>
      <c r="D81" s="921">
        <v>78000</v>
      </c>
      <c r="E81" s="921"/>
      <c r="F81" s="915"/>
      <c r="G81" s="972"/>
      <c r="H81" s="972"/>
    </row>
    <row r="82" spans="1:8" s="973" customFormat="1" ht="39.6" x14ac:dyDescent="0.25">
      <c r="A82" s="920">
        <v>21080900</v>
      </c>
      <c r="B82" s="914" t="s">
        <v>749</v>
      </c>
      <c r="C82" s="915">
        <f t="shared" si="1"/>
        <v>117900</v>
      </c>
      <c r="D82" s="921">
        <v>117900</v>
      </c>
      <c r="E82" s="921"/>
      <c r="F82" s="915"/>
      <c r="G82" s="972"/>
      <c r="H82" s="972"/>
    </row>
    <row r="83" spans="1:8" s="973" customFormat="1" ht="13.8" x14ac:dyDescent="0.25">
      <c r="A83" s="920">
        <v>21081100</v>
      </c>
      <c r="B83" s="914" t="s">
        <v>149</v>
      </c>
      <c r="C83" s="915">
        <f t="shared" si="1"/>
        <v>1860000</v>
      </c>
      <c r="D83" s="921">
        <v>1860000</v>
      </c>
      <c r="E83" s="921"/>
      <c r="F83" s="915"/>
      <c r="G83" s="972"/>
      <c r="H83" s="972"/>
    </row>
    <row r="84" spans="1:8" ht="26.4" hidden="1" x14ac:dyDescent="0.25">
      <c r="A84" s="907">
        <v>21110000</v>
      </c>
      <c r="B84" s="908" t="s">
        <v>750</v>
      </c>
      <c r="C84" s="915">
        <f t="shared" si="1"/>
        <v>0</v>
      </c>
      <c r="D84" s="904"/>
      <c r="E84" s="904">
        <v>0</v>
      </c>
      <c r="F84" s="903"/>
    </row>
    <row r="85" spans="1:8" s="938" customFormat="1" ht="52.8" x14ac:dyDescent="0.25">
      <c r="A85" s="977">
        <v>21081500</v>
      </c>
      <c r="B85" s="978" t="s">
        <v>118</v>
      </c>
      <c r="C85" s="915">
        <f t="shared" si="1"/>
        <v>1752000</v>
      </c>
      <c r="D85" s="921">
        <v>1752000</v>
      </c>
      <c r="E85" s="904"/>
      <c r="F85" s="903"/>
      <c r="G85" s="937"/>
      <c r="H85" s="937"/>
    </row>
    <row r="86" spans="1:8" s="938" customFormat="1" ht="26.4" x14ac:dyDescent="0.25">
      <c r="A86" s="977">
        <v>21081800</v>
      </c>
      <c r="B86" s="978" t="s">
        <v>120</v>
      </c>
      <c r="C86" s="915">
        <f t="shared" si="1"/>
        <v>931000</v>
      </c>
      <c r="D86" s="921">
        <v>931000</v>
      </c>
      <c r="E86" s="904"/>
      <c r="F86" s="903"/>
      <c r="G86" s="937"/>
      <c r="H86" s="937"/>
    </row>
    <row r="87" spans="1:8" s="938" customFormat="1" ht="39.6" x14ac:dyDescent="0.25">
      <c r="A87" s="977">
        <v>21082400</v>
      </c>
      <c r="B87" s="978" t="s">
        <v>122</v>
      </c>
      <c r="C87" s="915">
        <f t="shared" si="1"/>
        <v>38000</v>
      </c>
      <c r="D87" s="921">
        <v>38000</v>
      </c>
      <c r="E87" s="904"/>
      <c r="F87" s="903"/>
      <c r="G87" s="937"/>
      <c r="H87" s="937"/>
    </row>
    <row r="88" spans="1:8" s="912" customFormat="1" ht="26.4" x14ac:dyDescent="0.25">
      <c r="A88" s="907">
        <v>22000000</v>
      </c>
      <c r="B88" s="908" t="s">
        <v>751</v>
      </c>
      <c r="C88" s="903">
        <f t="shared" si="1"/>
        <v>48946000</v>
      </c>
      <c r="D88" s="904">
        <f>D94+D96+D89</f>
        <v>48946000</v>
      </c>
      <c r="E88" s="904"/>
      <c r="F88" s="903"/>
      <c r="G88" s="919"/>
      <c r="H88" s="919"/>
    </row>
    <row r="89" spans="1:8" s="912" customFormat="1" ht="13.8" x14ac:dyDescent="0.25">
      <c r="A89" s="907">
        <v>22010000</v>
      </c>
      <c r="B89" s="908" t="s">
        <v>752</v>
      </c>
      <c r="C89" s="903">
        <f>D89+E89</f>
        <v>37456000</v>
      </c>
      <c r="D89" s="904">
        <f>D90+D91+D92+D93</f>
        <v>37456000</v>
      </c>
      <c r="E89" s="904"/>
      <c r="F89" s="903"/>
      <c r="G89" s="919"/>
      <c r="H89" s="919"/>
    </row>
    <row r="90" spans="1:8" ht="26.4" x14ac:dyDescent="0.25">
      <c r="A90" s="920">
        <v>22010300</v>
      </c>
      <c r="B90" s="979" t="s">
        <v>753</v>
      </c>
      <c r="C90" s="915">
        <f t="shared" si="1"/>
        <v>2100000</v>
      </c>
      <c r="D90" s="921">
        <v>2100000</v>
      </c>
      <c r="E90" s="921"/>
      <c r="F90" s="915"/>
    </row>
    <row r="91" spans="1:8" ht="13.8" x14ac:dyDescent="0.25">
      <c r="A91" s="920">
        <v>22012500</v>
      </c>
      <c r="B91" s="914" t="s">
        <v>130</v>
      </c>
      <c r="C91" s="915">
        <f t="shared" si="1"/>
        <v>34400000</v>
      </c>
      <c r="D91" s="921">
        <v>34400000</v>
      </c>
      <c r="E91" s="921"/>
      <c r="F91" s="915"/>
    </row>
    <row r="92" spans="1:8" ht="26.4" x14ac:dyDescent="0.25">
      <c r="A92" s="920">
        <v>22012600</v>
      </c>
      <c r="B92" s="979" t="s">
        <v>754</v>
      </c>
      <c r="C92" s="915">
        <f t="shared" si="1"/>
        <v>876000</v>
      </c>
      <c r="D92" s="921">
        <v>876000</v>
      </c>
      <c r="E92" s="921"/>
      <c r="F92" s="915"/>
    </row>
    <row r="93" spans="1:8" ht="52.8" x14ac:dyDescent="0.25">
      <c r="A93" s="920">
        <v>22012900</v>
      </c>
      <c r="B93" s="914" t="s">
        <v>755</v>
      </c>
      <c r="C93" s="915">
        <f t="shared" si="1"/>
        <v>80000</v>
      </c>
      <c r="D93" s="921">
        <v>80000</v>
      </c>
      <c r="E93" s="921"/>
      <c r="F93" s="915"/>
    </row>
    <row r="94" spans="1:8" ht="26.4" x14ac:dyDescent="0.25">
      <c r="A94" s="907">
        <v>22080000</v>
      </c>
      <c r="B94" s="908" t="s">
        <v>756</v>
      </c>
      <c r="C94" s="903">
        <f t="shared" si="1"/>
        <v>10500000</v>
      </c>
      <c r="D94" s="904">
        <f>D95</f>
        <v>10500000</v>
      </c>
      <c r="E94" s="904"/>
      <c r="F94" s="903"/>
    </row>
    <row r="95" spans="1:8" s="973" customFormat="1" ht="26.4" x14ac:dyDescent="0.25">
      <c r="A95" s="920">
        <v>22080400</v>
      </c>
      <c r="B95" s="914" t="s">
        <v>757</v>
      </c>
      <c r="C95" s="915">
        <f t="shared" si="1"/>
        <v>10500000</v>
      </c>
      <c r="D95" s="921">
        <v>10500000</v>
      </c>
      <c r="E95" s="921"/>
      <c r="F95" s="915"/>
      <c r="G95" s="972"/>
      <c r="H95" s="972"/>
    </row>
    <row r="96" spans="1:8" s="912" customFormat="1" ht="13.8" x14ac:dyDescent="0.25">
      <c r="A96" s="907">
        <v>22090000</v>
      </c>
      <c r="B96" s="908" t="s">
        <v>141</v>
      </c>
      <c r="C96" s="903">
        <f t="shared" si="1"/>
        <v>990000</v>
      </c>
      <c r="D96" s="904">
        <f>SUM(D97:D99)</f>
        <v>990000</v>
      </c>
      <c r="E96" s="904"/>
      <c r="F96" s="903"/>
      <c r="G96" s="919"/>
      <c r="H96" s="919"/>
    </row>
    <row r="97" spans="1:8" s="962" customFormat="1" ht="26.4" x14ac:dyDescent="0.25">
      <c r="A97" s="980">
        <v>22090100</v>
      </c>
      <c r="B97" s="914" t="s">
        <v>686</v>
      </c>
      <c r="C97" s="915">
        <f t="shared" si="1"/>
        <v>859000</v>
      </c>
      <c r="D97" s="916">
        <v>859000</v>
      </c>
      <c r="E97" s="904"/>
      <c r="F97" s="903"/>
      <c r="G97" s="961"/>
      <c r="H97" s="961"/>
    </row>
    <row r="98" spans="1:8" s="962" customFormat="1" ht="13.8" x14ac:dyDescent="0.25">
      <c r="A98" s="980">
        <v>22090200</v>
      </c>
      <c r="B98" s="914" t="s">
        <v>758</v>
      </c>
      <c r="C98" s="915">
        <f t="shared" si="1"/>
        <v>1000</v>
      </c>
      <c r="D98" s="916">
        <v>1000</v>
      </c>
      <c r="E98" s="904"/>
      <c r="F98" s="903"/>
      <c r="G98" s="961"/>
      <c r="H98" s="961"/>
    </row>
    <row r="99" spans="1:8" s="985" customFormat="1" ht="26.4" x14ac:dyDescent="0.25">
      <c r="A99" s="981">
        <v>22090400</v>
      </c>
      <c r="B99" s="982" t="s">
        <v>759</v>
      </c>
      <c r="C99" s="915">
        <f t="shared" si="1"/>
        <v>130000</v>
      </c>
      <c r="D99" s="916">
        <v>130000</v>
      </c>
      <c r="E99" s="904"/>
      <c r="F99" s="983"/>
      <c r="G99" s="984"/>
      <c r="H99" s="984"/>
    </row>
    <row r="100" spans="1:8" s="912" customFormat="1" ht="13.8" x14ac:dyDescent="0.25">
      <c r="A100" s="907">
        <v>24000000</v>
      </c>
      <c r="B100" s="908" t="s">
        <v>150</v>
      </c>
      <c r="C100" s="903">
        <f>D100+E100</f>
        <v>22129000</v>
      </c>
      <c r="D100" s="904">
        <f>D101+D102+D110+D113</f>
        <v>21370000</v>
      </c>
      <c r="E100" s="904">
        <f>E105+E112+E113+E111+E114</f>
        <v>759000</v>
      </c>
      <c r="F100" s="904">
        <f>F105+F112+F113+F111+F114</f>
        <v>189000</v>
      </c>
      <c r="G100" s="919"/>
      <c r="H100" s="919"/>
    </row>
    <row r="101" spans="1:8" s="912" customFormat="1" ht="26.4" hidden="1" x14ac:dyDescent="0.25">
      <c r="A101" s="920">
        <v>24030000</v>
      </c>
      <c r="B101" s="986" t="s">
        <v>760</v>
      </c>
      <c r="C101" s="915">
        <f t="shared" si="1"/>
        <v>0</v>
      </c>
      <c r="D101" s="921"/>
      <c r="E101" s="921">
        <v>0</v>
      </c>
      <c r="F101" s="915"/>
      <c r="G101" s="919"/>
      <c r="H101" s="919"/>
    </row>
    <row r="102" spans="1:8" s="930" customFormat="1" ht="13.8" x14ac:dyDescent="0.25">
      <c r="A102" s="927">
        <v>24060000</v>
      </c>
      <c r="B102" s="925" t="s">
        <v>111</v>
      </c>
      <c r="C102" s="903">
        <f>D102+E102</f>
        <v>21880000</v>
      </c>
      <c r="D102" s="904">
        <f>D103+D104+D109</f>
        <v>21370000</v>
      </c>
      <c r="E102" s="987">
        <f>E105</f>
        <v>510000</v>
      </c>
      <c r="F102" s="903"/>
      <c r="G102" s="929"/>
      <c r="H102" s="929"/>
    </row>
    <row r="103" spans="1:8" s="973" customFormat="1" ht="13.8" x14ac:dyDescent="0.25">
      <c r="A103" s="920">
        <v>24060300</v>
      </c>
      <c r="B103" s="914" t="s">
        <v>111</v>
      </c>
      <c r="C103" s="915">
        <f>D103+E103</f>
        <v>13370000</v>
      </c>
      <c r="D103" s="921">
        <v>13370000</v>
      </c>
      <c r="E103" s="921"/>
      <c r="F103" s="915"/>
      <c r="G103" s="972"/>
      <c r="H103" s="972"/>
    </row>
    <row r="104" spans="1:8" s="973" customFormat="1" ht="26.4" hidden="1" x14ac:dyDescent="0.25">
      <c r="A104" s="920">
        <v>24061900</v>
      </c>
      <c r="B104" s="914" t="s">
        <v>761</v>
      </c>
      <c r="C104" s="915">
        <f t="shared" si="1"/>
        <v>0</v>
      </c>
      <c r="D104" s="921">
        <v>0</v>
      </c>
      <c r="E104" s="921"/>
      <c r="F104" s="915"/>
      <c r="G104" s="972"/>
      <c r="H104" s="972"/>
    </row>
    <row r="105" spans="1:8" s="973" customFormat="1" ht="26.4" x14ac:dyDescent="0.25">
      <c r="A105" s="920">
        <v>24062100</v>
      </c>
      <c r="B105" s="986" t="s">
        <v>762</v>
      </c>
      <c r="C105" s="915">
        <f t="shared" si="1"/>
        <v>510000</v>
      </c>
      <c r="D105" s="921"/>
      <c r="E105" s="921">
        <v>510000</v>
      </c>
      <c r="F105" s="915"/>
      <c r="G105" s="961"/>
      <c r="H105" s="972"/>
    </row>
    <row r="106" spans="1:8" s="973" customFormat="1" ht="13.8" hidden="1" x14ac:dyDescent="0.25">
      <c r="A106" s="920"/>
      <c r="B106" s="914"/>
      <c r="C106" s="915">
        <f t="shared" si="1"/>
        <v>0</v>
      </c>
      <c r="D106" s="921"/>
      <c r="E106" s="921"/>
      <c r="F106" s="915"/>
      <c r="G106" s="972"/>
      <c r="H106" s="972"/>
    </row>
    <row r="107" spans="1:8" s="973" customFormat="1" ht="13.8" hidden="1" x14ac:dyDescent="0.25">
      <c r="A107" s="920"/>
      <c r="B107" s="914"/>
      <c r="C107" s="915">
        <f t="shared" si="1"/>
        <v>0</v>
      </c>
      <c r="D107" s="921"/>
      <c r="E107" s="921"/>
      <c r="F107" s="915"/>
      <c r="G107" s="972"/>
      <c r="H107" s="972"/>
    </row>
    <row r="108" spans="1:8" s="973" customFormat="1" ht="52.8" hidden="1" x14ac:dyDescent="0.25">
      <c r="A108" s="920">
        <v>24062000</v>
      </c>
      <c r="B108" s="914" t="s">
        <v>763</v>
      </c>
      <c r="C108" s="915">
        <f t="shared" si="1"/>
        <v>0</v>
      </c>
      <c r="D108" s="921"/>
      <c r="E108" s="921"/>
      <c r="F108" s="915"/>
      <c r="G108" s="972"/>
      <c r="H108" s="972"/>
    </row>
    <row r="109" spans="1:8" s="973" customFormat="1" ht="79.2" x14ac:dyDescent="0.25">
      <c r="A109" s="920">
        <v>24062200</v>
      </c>
      <c r="B109" s="986" t="s">
        <v>764</v>
      </c>
      <c r="C109" s="915">
        <f t="shared" si="1"/>
        <v>8000000</v>
      </c>
      <c r="D109" s="921">
        <v>8000000</v>
      </c>
      <c r="E109" s="921"/>
      <c r="F109" s="915"/>
      <c r="G109" s="972"/>
      <c r="H109" s="972"/>
    </row>
    <row r="110" spans="1:8" s="960" customFormat="1" ht="13.8" x14ac:dyDescent="0.25">
      <c r="A110" s="927">
        <v>24110000</v>
      </c>
      <c r="B110" s="925" t="s">
        <v>765</v>
      </c>
      <c r="C110" s="903">
        <f>D110+E110</f>
        <v>249000</v>
      </c>
      <c r="D110" s="904">
        <f>D111+D112</f>
        <v>0</v>
      </c>
      <c r="E110" s="904">
        <f>E111+E112+E114</f>
        <v>249000</v>
      </c>
      <c r="F110" s="904">
        <f>F111+F112+F114</f>
        <v>189000</v>
      </c>
      <c r="G110" s="959"/>
      <c r="H110" s="959"/>
    </row>
    <row r="111" spans="1:8" s="973" customFormat="1" ht="26.4" x14ac:dyDescent="0.25">
      <c r="A111" s="920">
        <v>24110700</v>
      </c>
      <c r="B111" s="914" t="s">
        <v>158</v>
      </c>
      <c r="C111" s="915">
        <f t="shared" si="1"/>
        <v>24000</v>
      </c>
      <c r="D111" s="921"/>
      <c r="E111" s="915">
        <v>24000</v>
      </c>
      <c r="F111" s="915">
        <f>E111</f>
        <v>24000</v>
      </c>
      <c r="G111" s="972"/>
      <c r="H111" s="972"/>
    </row>
    <row r="112" spans="1:8" s="973" customFormat="1" ht="39.6" x14ac:dyDescent="0.25">
      <c r="A112" s="920">
        <v>24110900</v>
      </c>
      <c r="B112" s="914" t="s">
        <v>766</v>
      </c>
      <c r="C112" s="915">
        <f t="shared" si="1"/>
        <v>60000</v>
      </c>
      <c r="D112" s="921"/>
      <c r="E112" s="915">
        <v>60000</v>
      </c>
      <c r="F112" s="915"/>
      <c r="G112" s="972"/>
      <c r="H112" s="972"/>
    </row>
    <row r="113" spans="1:8" ht="13.8" hidden="1" x14ac:dyDescent="0.25">
      <c r="A113" s="988">
        <v>24170000</v>
      </c>
      <c r="B113" s="918" t="s">
        <v>164</v>
      </c>
      <c r="C113" s="915">
        <f t="shared" si="1"/>
        <v>0</v>
      </c>
      <c r="D113" s="921"/>
      <c r="E113" s="915">
        <f>D113</f>
        <v>0</v>
      </c>
      <c r="F113" s="915">
        <f>E113</f>
        <v>0</v>
      </c>
    </row>
    <row r="114" spans="1:8" s="954" customFormat="1" ht="64.8" customHeight="1" x14ac:dyDescent="0.25">
      <c r="A114" s="926">
        <v>24111200</v>
      </c>
      <c r="B114" s="989" t="s">
        <v>767</v>
      </c>
      <c r="C114" s="915">
        <f t="shared" si="1"/>
        <v>165000</v>
      </c>
      <c r="D114" s="921"/>
      <c r="E114" s="921">
        <v>165000</v>
      </c>
      <c r="F114" s="921">
        <f>E114</f>
        <v>165000</v>
      </c>
      <c r="G114" s="950"/>
      <c r="H114" s="950"/>
    </row>
    <row r="115" spans="1:8" s="919" customFormat="1" ht="13.8" x14ac:dyDescent="0.25">
      <c r="A115" s="990">
        <v>25000000</v>
      </c>
      <c r="B115" s="991" t="s">
        <v>768</v>
      </c>
      <c r="C115" s="903">
        <f t="shared" si="1"/>
        <v>147013960</v>
      </c>
      <c r="D115" s="966"/>
      <c r="E115" s="904">
        <f>E116+E121</f>
        <v>147013960</v>
      </c>
      <c r="F115" s="903"/>
    </row>
    <row r="116" spans="1:8" s="879" customFormat="1" ht="26.4" x14ac:dyDescent="0.25">
      <c r="A116" s="990">
        <v>25010000</v>
      </c>
      <c r="B116" s="991" t="s">
        <v>769</v>
      </c>
      <c r="C116" s="903">
        <f t="shared" si="1"/>
        <v>146326560</v>
      </c>
      <c r="D116" s="921"/>
      <c r="E116" s="904">
        <f>E117+E118+E119+E120</f>
        <v>146326560</v>
      </c>
      <c r="F116" s="903"/>
    </row>
    <row r="117" spans="1:8" s="950" customFormat="1" ht="26.4" customHeight="1" x14ac:dyDescent="0.25">
      <c r="A117" s="949">
        <v>25010100</v>
      </c>
      <c r="B117" s="945" t="s">
        <v>167</v>
      </c>
      <c r="C117" s="915">
        <f t="shared" si="1"/>
        <v>122562324</v>
      </c>
      <c r="D117" s="992"/>
      <c r="E117" s="921">
        <v>122562324</v>
      </c>
      <c r="F117" s="903"/>
    </row>
    <row r="118" spans="1:8" s="950" customFormat="1" ht="13.8" x14ac:dyDescent="0.25">
      <c r="A118" s="949">
        <v>25010200</v>
      </c>
      <c r="B118" s="945" t="s">
        <v>169</v>
      </c>
      <c r="C118" s="915">
        <f t="shared" si="1"/>
        <v>16379991</v>
      </c>
      <c r="D118" s="992"/>
      <c r="E118" s="921">
        <v>16379991</v>
      </c>
      <c r="F118" s="903"/>
    </row>
    <row r="119" spans="1:8" s="950" customFormat="1" ht="26.4" x14ac:dyDescent="0.25">
      <c r="A119" s="949">
        <v>25010300</v>
      </c>
      <c r="B119" s="945" t="s">
        <v>770</v>
      </c>
      <c r="C119" s="915">
        <f t="shared" si="1"/>
        <v>7189952</v>
      </c>
      <c r="D119" s="992"/>
      <c r="E119" s="921">
        <v>7189952</v>
      </c>
      <c r="F119" s="903"/>
    </row>
    <row r="120" spans="1:8" s="950" customFormat="1" ht="26.4" x14ac:dyDescent="0.25">
      <c r="A120" s="993">
        <v>25010400</v>
      </c>
      <c r="B120" s="945" t="s">
        <v>173</v>
      </c>
      <c r="C120" s="915">
        <f t="shared" si="1"/>
        <v>194293</v>
      </c>
      <c r="D120" s="992"/>
      <c r="E120" s="921">
        <v>194293</v>
      </c>
      <c r="F120" s="903"/>
    </row>
    <row r="121" spans="1:8" ht="13.8" x14ac:dyDescent="0.25">
      <c r="A121" s="927">
        <v>25020000</v>
      </c>
      <c r="B121" s="925" t="s">
        <v>771</v>
      </c>
      <c r="C121" s="903">
        <f t="shared" si="1"/>
        <v>687400</v>
      </c>
      <c r="D121" s="921"/>
      <c r="E121" s="904">
        <f>E122+E123</f>
        <v>687400</v>
      </c>
      <c r="F121" s="903"/>
    </row>
    <row r="122" spans="1:8" s="954" customFormat="1" ht="13.8" hidden="1" x14ac:dyDescent="0.25">
      <c r="A122" s="926">
        <v>25020100</v>
      </c>
      <c r="B122" s="918" t="s">
        <v>176</v>
      </c>
      <c r="C122" s="915">
        <f t="shared" si="1"/>
        <v>0</v>
      </c>
      <c r="D122" s="992"/>
      <c r="E122" s="921"/>
      <c r="F122" s="915"/>
      <c r="G122" s="950"/>
      <c r="H122" s="950"/>
    </row>
    <row r="123" spans="1:8" s="954" customFormat="1" ht="48" x14ac:dyDescent="0.25">
      <c r="A123" s="926">
        <v>25020200</v>
      </c>
      <c r="B123" s="994" t="s">
        <v>772</v>
      </c>
      <c r="C123" s="915">
        <f t="shared" si="1"/>
        <v>687400</v>
      </c>
      <c r="D123" s="992"/>
      <c r="E123" s="921">
        <v>687400</v>
      </c>
      <c r="F123" s="903"/>
      <c r="G123" s="950"/>
      <c r="H123" s="950"/>
    </row>
    <row r="124" spans="1:8" s="906" customFormat="1" ht="13.8" x14ac:dyDescent="0.25">
      <c r="A124" s="901">
        <v>30000000</v>
      </c>
      <c r="B124" s="995" t="s">
        <v>179</v>
      </c>
      <c r="C124" s="903">
        <f t="shared" si="1"/>
        <v>44002000</v>
      </c>
      <c r="D124" s="904">
        <f>D125</f>
        <v>2000</v>
      </c>
      <c r="E124" s="904">
        <f>E125+E130</f>
        <v>44000000</v>
      </c>
      <c r="F124" s="903">
        <f>F125+F130</f>
        <v>44000000</v>
      </c>
      <c r="G124" s="905"/>
      <c r="H124" s="905"/>
    </row>
    <row r="125" spans="1:8" s="912" customFormat="1" ht="13.8" x14ac:dyDescent="0.25">
      <c r="A125" s="996">
        <v>31000000</v>
      </c>
      <c r="B125" s="908" t="s">
        <v>773</v>
      </c>
      <c r="C125" s="903">
        <f t="shared" si="1"/>
        <v>35002000</v>
      </c>
      <c r="D125" s="904">
        <f>D127+D129+D128</f>
        <v>2000</v>
      </c>
      <c r="E125" s="904">
        <f>E127+E129</f>
        <v>35000000</v>
      </c>
      <c r="F125" s="903">
        <f>F127+F129</f>
        <v>35000000</v>
      </c>
      <c r="G125" s="919"/>
      <c r="H125" s="919"/>
    </row>
    <row r="126" spans="1:8" s="912" customFormat="1" ht="39.6" x14ac:dyDescent="0.25">
      <c r="A126" s="996">
        <v>31010000</v>
      </c>
      <c r="B126" s="908" t="s">
        <v>182</v>
      </c>
      <c r="C126" s="903">
        <f t="shared" si="1"/>
        <v>1000</v>
      </c>
      <c r="D126" s="904">
        <f>D127</f>
        <v>1000</v>
      </c>
      <c r="E126" s="904">
        <f>E127</f>
        <v>0</v>
      </c>
      <c r="F126" s="904">
        <f>F127</f>
        <v>0</v>
      </c>
      <c r="G126" s="919"/>
      <c r="H126" s="919"/>
    </row>
    <row r="127" spans="1:8" s="962" customFormat="1" ht="39.6" x14ac:dyDescent="0.25">
      <c r="A127" s="997">
        <v>31010200</v>
      </c>
      <c r="B127" s="998" t="s">
        <v>774</v>
      </c>
      <c r="C127" s="915">
        <f t="shared" si="1"/>
        <v>1000</v>
      </c>
      <c r="D127" s="921">
        <v>1000</v>
      </c>
      <c r="E127" s="904"/>
      <c r="F127" s="903"/>
      <c r="G127" s="961"/>
      <c r="H127" s="961"/>
    </row>
    <row r="128" spans="1:8" s="1001" customFormat="1" ht="26.4" customHeight="1" x14ac:dyDescent="0.25">
      <c r="A128" s="963">
        <v>31020000</v>
      </c>
      <c r="B128" s="964" t="s">
        <v>775</v>
      </c>
      <c r="C128" s="915">
        <f t="shared" ref="C128:C193" si="2">D128+E128</f>
        <v>1000</v>
      </c>
      <c r="D128" s="921">
        <v>1000</v>
      </c>
      <c r="E128" s="921"/>
      <c r="F128" s="999"/>
      <c r="G128" s="1000"/>
      <c r="H128" s="1000"/>
    </row>
    <row r="129" spans="1:8" s="938" customFormat="1" ht="26.4" x14ac:dyDescent="0.25">
      <c r="A129" s="922">
        <v>31030000</v>
      </c>
      <c r="B129" s="918" t="s">
        <v>776</v>
      </c>
      <c r="C129" s="915">
        <f t="shared" si="2"/>
        <v>35000000</v>
      </c>
      <c r="D129" s="903"/>
      <c r="E129" s="915">
        <v>35000000</v>
      </c>
      <c r="F129" s="915">
        <f>E129</f>
        <v>35000000</v>
      </c>
      <c r="G129" s="937"/>
      <c r="H129" s="937"/>
    </row>
    <row r="130" spans="1:8" s="938" customFormat="1" ht="13.8" x14ac:dyDescent="0.25">
      <c r="A130" s="1002">
        <v>33000000</v>
      </c>
      <c r="B130" s="1003" t="s">
        <v>777</v>
      </c>
      <c r="C130" s="903">
        <f t="shared" si="2"/>
        <v>9000000</v>
      </c>
      <c r="D130" s="904"/>
      <c r="E130" s="904">
        <f>E131</f>
        <v>9000000</v>
      </c>
      <c r="F130" s="903">
        <f>F131</f>
        <v>9000000</v>
      </c>
      <c r="G130" s="937"/>
      <c r="H130" s="937"/>
    </row>
    <row r="131" spans="1:8" s="930" customFormat="1" ht="13.8" x14ac:dyDescent="0.25">
      <c r="A131" s="928">
        <v>33010000</v>
      </c>
      <c r="B131" s="925" t="s">
        <v>778</v>
      </c>
      <c r="C131" s="903">
        <f t="shared" si="2"/>
        <v>9000000</v>
      </c>
      <c r="D131" s="904"/>
      <c r="E131" s="904">
        <f>F131</f>
        <v>9000000</v>
      </c>
      <c r="F131" s="903">
        <f>F132+F133</f>
        <v>9000000</v>
      </c>
      <c r="G131" s="929"/>
      <c r="H131" s="929"/>
    </row>
    <row r="132" spans="1:8" s="1005" customFormat="1" ht="39.6" x14ac:dyDescent="0.25">
      <c r="A132" s="917">
        <v>33010100</v>
      </c>
      <c r="B132" s="918" t="s">
        <v>779</v>
      </c>
      <c r="C132" s="915">
        <f t="shared" si="2"/>
        <v>9000000</v>
      </c>
      <c r="D132" s="904"/>
      <c r="E132" s="921">
        <v>9000000</v>
      </c>
      <c r="F132" s="921">
        <f>E132</f>
        <v>9000000</v>
      </c>
      <c r="G132" s="1004"/>
      <c r="H132" s="1004"/>
    </row>
    <row r="133" spans="1:8" s="1005" customFormat="1" ht="39.6" hidden="1" x14ac:dyDescent="0.25">
      <c r="A133" s="917">
        <v>33010200</v>
      </c>
      <c r="B133" s="918" t="s">
        <v>780</v>
      </c>
      <c r="C133" s="915">
        <f t="shared" si="2"/>
        <v>0</v>
      </c>
      <c r="D133" s="904"/>
      <c r="E133" s="921"/>
      <c r="F133" s="915">
        <f>E133</f>
        <v>0</v>
      </c>
      <c r="G133" s="1004"/>
      <c r="H133" s="1004"/>
    </row>
    <row r="134" spans="1:8" s="1005" customFormat="1" ht="26.4" hidden="1" x14ac:dyDescent="0.25">
      <c r="A134" s="917">
        <v>33010400</v>
      </c>
      <c r="B134" s="918" t="s">
        <v>781</v>
      </c>
      <c r="C134" s="915">
        <f t="shared" si="2"/>
        <v>0</v>
      </c>
      <c r="D134" s="904"/>
      <c r="E134" s="921"/>
      <c r="F134" s="915">
        <f>E134</f>
        <v>0</v>
      </c>
      <c r="G134" s="1004"/>
      <c r="H134" s="1004"/>
    </row>
    <row r="135" spans="1:8" s="906" customFormat="1" ht="13.8" x14ac:dyDescent="0.25">
      <c r="A135" s="901">
        <v>50000000</v>
      </c>
      <c r="B135" s="1006" t="s">
        <v>187</v>
      </c>
      <c r="C135" s="903">
        <f t="shared" si="2"/>
        <v>970000</v>
      </c>
      <c r="D135" s="904"/>
      <c r="E135" s="904">
        <f>E136</f>
        <v>970000</v>
      </c>
      <c r="F135" s="903"/>
      <c r="G135" s="905"/>
      <c r="H135" s="905"/>
    </row>
    <row r="136" spans="1:8" s="912" customFormat="1" ht="26.4" x14ac:dyDescent="0.25">
      <c r="A136" s="926">
        <v>50110000</v>
      </c>
      <c r="B136" s="1007" t="s">
        <v>782</v>
      </c>
      <c r="C136" s="903">
        <f t="shared" si="2"/>
        <v>970000</v>
      </c>
      <c r="D136" s="921"/>
      <c r="E136" s="921">
        <v>970000</v>
      </c>
      <c r="F136" s="915"/>
      <c r="G136" s="919"/>
      <c r="H136" s="919"/>
    </row>
    <row r="137" spans="1:8" s="906" customFormat="1" ht="13.8" x14ac:dyDescent="0.25">
      <c r="A137" s="901"/>
      <c r="B137" s="902" t="s">
        <v>783</v>
      </c>
      <c r="C137" s="903">
        <f t="shared" si="2"/>
        <v>4231463660</v>
      </c>
      <c r="D137" s="904">
        <f>D75+D11+D124</f>
        <v>4013720700</v>
      </c>
      <c r="E137" s="904">
        <f>E75+E11+E124+E135</f>
        <v>217742960</v>
      </c>
      <c r="F137" s="903">
        <f>F75+F11+F124</f>
        <v>44189000</v>
      </c>
      <c r="G137" s="905"/>
      <c r="H137" s="1008"/>
    </row>
    <row r="138" spans="1:8" s="912" customFormat="1" ht="13.8" hidden="1" x14ac:dyDescent="0.25">
      <c r="A138" s="901"/>
      <c r="B138" s="902"/>
      <c r="C138" s="903" t="e">
        <f t="shared" si="2"/>
        <v>#REF!</v>
      </c>
      <c r="D138" s="904" t="e">
        <f>D13+#REF!+D96</f>
        <v>#REF!</v>
      </c>
      <c r="E138" s="904"/>
      <c r="F138" s="903"/>
      <c r="G138" s="919"/>
      <c r="H138" s="919"/>
    </row>
    <row r="139" spans="1:8" s="912" customFormat="1" ht="13.8" hidden="1" x14ac:dyDescent="0.25">
      <c r="A139" s="901"/>
      <c r="B139" s="902"/>
      <c r="C139" s="903">
        <f t="shared" si="2"/>
        <v>0</v>
      </c>
      <c r="D139" s="904"/>
      <c r="E139" s="904"/>
      <c r="F139" s="903"/>
      <c r="G139" s="919"/>
      <c r="H139" s="919"/>
    </row>
    <row r="140" spans="1:8" s="1010" customFormat="1" ht="13.8" hidden="1" x14ac:dyDescent="0.25">
      <c r="A140" s="901">
        <v>40000000</v>
      </c>
      <c r="B140" s="902" t="s">
        <v>195</v>
      </c>
      <c r="C140" s="903">
        <f>D140+E140</f>
        <v>0</v>
      </c>
      <c r="D140" s="903">
        <f>D141</f>
        <v>0</v>
      </c>
      <c r="E140" s="904">
        <f>E144+E147+E153</f>
        <v>0</v>
      </c>
      <c r="F140" s="904">
        <f>F144+F147+F153</f>
        <v>0</v>
      </c>
      <c r="G140" s="1009"/>
      <c r="H140" s="1009"/>
    </row>
    <row r="141" spans="1:8" s="1010" customFormat="1" ht="13.8" hidden="1" x14ac:dyDescent="0.25">
      <c r="A141" s="901">
        <v>41000000</v>
      </c>
      <c r="B141" s="1011" t="s">
        <v>784</v>
      </c>
      <c r="C141" s="903">
        <f>D141+E141</f>
        <v>0</v>
      </c>
      <c r="D141" s="903">
        <f>D144+D147+D153+D142</f>
        <v>0</v>
      </c>
      <c r="E141" s="904"/>
      <c r="F141" s="904"/>
      <c r="G141" s="1009"/>
      <c r="H141" s="1009"/>
    </row>
    <row r="142" spans="1:8" ht="13.8" hidden="1" x14ac:dyDescent="0.25">
      <c r="A142" s="907">
        <v>41020000</v>
      </c>
      <c r="B142" s="1012" t="s">
        <v>196</v>
      </c>
      <c r="C142" s="903">
        <f>C143</f>
        <v>0</v>
      </c>
      <c r="D142" s="903">
        <f>D143</f>
        <v>0</v>
      </c>
      <c r="E142" s="904"/>
      <c r="F142" s="903"/>
    </row>
    <row r="143" spans="1:8" s="973" customFormat="1" ht="48" hidden="1" x14ac:dyDescent="0.25">
      <c r="A143" s="1013">
        <v>41021300</v>
      </c>
      <c r="B143" s="1014" t="s">
        <v>785</v>
      </c>
      <c r="C143" s="915">
        <f>D143+E143</f>
        <v>0</v>
      </c>
      <c r="D143" s="915"/>
      <c r="E143" s="921"/>
      <c r="F143" s="915"/>
      <c r="G143" s="972"/>
      <c r="H143" s="972"/>
    </row>
    <row r="144" spans="1:8" ht="13.8" hidden="1" x14ac:dyDescent="0.25">
      <c r="A144" s="907">
        <v>41040000</v>
      </c>
      <c r="B144" s="1012" t="s">
        <v>214</v>
      </c>
      <c r="C144" s="903">
        <f>C145</f>
        <v>0</v>
      </c>
      <c r="D144" s="903">
        <f>D145+D146</f>
        <v>0</v>
      </c>
      <c r="E144" s="904"/>
      <c r="F144" s="903"/>
    </row>
    <row r="145" spans="1:8" s="973" customFormat="1" ht="24" hidden="1" x14ac:dyDescent="0.25">
      <c r="A145" s="1013">
        <v>41040200</v>
      </c>
      <c r="B145" s="1014" t="s">
        <v>786</v>
      </c>
      <c r="C145" s="915">
        <f t="shared" si="2"/>
        <v>0</v>
      </c>
      <c r="D145" s="915"/>
      <c r="E145" s="921"/>
      <c r="F145" s="915"/>
      <c r="G145" s="972"/>
      <c r="H145" s="972"/>
    </row>
    <row r="146" spans="1:8" s="973" customFormat="1" ht="13.8" hidden="1" x14ac:dyDescent="0.25">
      <c r="A146" s="1013">
        <v>41040400</v>
      </c>
      <c r="B146" s="1014" t="s">
        <v>216</v>
      </c>
      <c r="C146" s="915">
        <f t="shared" si="2"/>
        <v>0</v>
      </c>
      <c r="D146" s="915"/>
      <c r="E146" s="921"/>
      <c r="F146" s="915"/>
      <c r="G146" s="972"/>
      <c r="H146" s="972"/>
    </row>
    <row r="147" spans="1:8" s="930" customFormat="1" ht="13.8" hidden="1" x14ac:dyDescent="0.25">
      <c r="A147" s="927">
        <v>41030000</v>
      </c>
      <c r="B147" s="1011" t="s">
        <v>787</v>
      </c>
      <c r="C147" s="903">
        <f>SUM(C148:C152)</f>
        <v>0</v>
      </c>
      <c r="D147" s="903">
        <f>SUM(D148:D152)</f>
        <v>0</v>
      </c>
      <c r="E147" s="904"/>
      <c r="F147" s="903"/>
      <c r="G147" s="929"/>
      <c r="H147" s="929"/>
    </row>
    <row r="148" spans="1:8" s="930" customFormat="1" ht="26.4" hidden="1" x14ac:dyDescent="0.25">
      <c r="A148" s="926">
        <v>41033800</v>
      </c>
      <c r="B148" s="1007" t="s">
        <v>788</v>
      </c>
      <c r="C148" s="915">
        <f t="shared" si="2"/>
        <v>0</v>
      </c>
      <c r="D148" s="915"/>
      <c r="E148" s="921"/>
      <c r="F148" s="915"/>
      <c r="G148" s="929"/>
      <c r="H148" s="929"/>
    </row>
    <row r="149" spans="1:8" s="1020" customFormat="1" ht="13.8" hidden="1" x14ac:dyDescent="0.25">
      <c r="A149" s="1015">
        <v>41033900</v>
      </c>
      <c r="B149" s="982" t="s">
        <v>211</v>
      </c>
      <c r="C149" s="915">
        <f t="shared" si="2"/>
        <v>0</v>
      </c>
      <c r="D149" s="1016"/>
      <c r="E149" s="1017"/>
      <c r="F149" s="1016"/>
      <c r="G149" s="1018"/>
      <c r="H149" s="1019"/>
    </row>
    <row r="150" spans="1:8" s="1020" customFormat="1" hidden="1" x14ac:dyDescent="0.25">
      <c r="A150" s="1015">
        <v>41034200</v>
      </c>
      <c r="B150" s="982" t="s">
        <v>789</v>
      </c>
      <c r="C150" s="1021">
        <f t="shared" si="2"/>
        <v>0</v>
      </c>
      <c r="D150" s="1022"/>
      <c r="E150" s="1023"/>
      <c r="F150" s="1024"/>
      <c r="G150" s="1019"/>
      <c r="H150" s="1019"/>
    </row>
    <row r="151" spans="1:8" s="1020" customFormat="1" ht="26.4" hidden="1" x14ac:dyDescent="0.25">
      <c r="A151" s="1015">
        <v>41034500</v>
      </c>
      <c r="B151" s="982" t="s">
        <v>213</v>
      </c>
      <c r="C151" s="1021">
        <f t="shared" si="2"/>
        <v>0</v>
      </c>
      <c r="D151" s="1022"/>
      <c r="E151" s="1023"/>
      <c r="F151" s="1024"/>
      <c r="G151" s="1019"/>
      <c r="H151" s="1019"/>
    </row>
    <row r="152" spans="1:8" s="1020" customFormat="1" ht="26.4" hidden="1" x14ac:dyDescent="0.25">
      <c r="A152" s="1015">
        <v>41037400</v>
      </c>
      <c r="B152" s="982" t="s">
        <v>790</v>
      </c>
      <c r="C152" s="1021">
        <f t="shared" si="2"/>
        <v>0</v>
      </c>
      <c r="D152" s="1022"/>
      <c r="E152" s="1023"/>
      <c r="F152" s="1024"/>
      <c r="G152" s="1019"/>
      <c r="H152" s="1019"/>
    </row>
    <row r="153" spans="1:8" hidden="1" x14ac:dyDescent="0.25">
      <c r="A153" s="907">
        <v>41050000</v>
      </c>
      <c r="B153" s="1012" t="s">
        <v>791</v>
      </c>
      <c r="C153" s="1025">
        <f>D153+E153</f>
        <v>0</v>
      </c>
      <c r="D153" s="1025">
        <f>D156+D154+D160+D173+D165+D155+D164+D166+D170+D171+D157+D161+D192+D158+D159+D191+D193</f>
        <v>0</v>
      </c>
      <c r="E153" s="1026">
        <f>E172</f>
        <v>0</v>
      </c>
      <c r="F153" s="1025">
        <f>F156+F154+F160+F173</f>
        <v>0</v>
      </c>
    </row>
    <row r="154" spans="1:8" ht="105.6" hidden="1" x14ac:dyDescent="0.25">
      <c r="A154" s="920">
        <v>41050100</v>
      </c>
      <c r="B154" s="1027" t="s">
        <v>792</v>
      </c>
      <c r="C154" s="1021">
        <f t="shared" si="2"/>
        <v>0</v>
      </c>
      <c r="D154" s="1021"/>
      <c r="E154" s="1028"/>
      <c r="F154" s="1029"/>
    </row>
    <row r="155" spans="1:8" ht="39.6" hidden="1" x14ac:dyDescent="0.25">
      <c r="A155" s="920">
        <v>41050200</v>
      </c>
      <c r="B155" s="914" t="s">
        <v>219</v>
      </c>
      <c r="C155" s="1021">
        <f t="shared" si="2"/>
        <v>0</v>
      </c>
      <c r="D155" s="1021"/>
      <c r="E155" s="1028"/>
      <c r="F155" s="1029"/>
    </row>
    <row r="156" spans="1:8" s="973" customFormat="1" ht="105.6" hidden="1" x14ac:dyDescent="0.25">
      <c r="A156" s="920">
        <v>41050300</v>
      </c>
      <c r="B156" s="914" t="s">
        <v>793</v>
      </c>
      <c r="C156" s="1021">
        <f>D156+E156</f>
        <v>0</v>
      </c>
      <c r="D156" s="1021"/>
      <c r="E156" s="1030"/>
      <c r="F156" s="1031"/>
      <c r="G156" s="1032"/>
      <c r="H156" s="972"/>
    </row>
    <row r="157" spans="1:8" s="973" customFormat="1" ht="132" hidden="1" x14ac:dyDescent="0.25">
      <c r="A157" s="920">
        <v>41050400</v>
      </c>
      <c r="B157" s="914" t="s">
        <v>794</v>
      </c>
      <c r="C157" s="1021">
        <f>D157+E157</f>
        <v>0</v>
      </c>
      <c r="D157" s="1021"/>
      <c r="E157" s="1030"/>
      <c r="F157" s="1031"/>
      <c r="G157" s="1032"/>
      <c r="H157" s="972"/>
    </row>
    <row r="158" spans="1:8" s="973" customFormat="1" ht="118.8" hidden="1" x14ac:dyDescent="0.25">
      <c r="A158" s="920">
        <v>41050500</v>
      </c>
      <c r="B158" s="914" t="s">
        <v>222</v>
      </c>
      <c r="C158" s="1021">
        <f>D158+E158</f>
        <v>0</v>
      </c>
      <c r="D158" s="1021"/>
      <c r="E158" s="1030"/>
      <c r="F158" s="1031"/>
      <c r="G158" s="1032"/>
      <c r="H158" s="972"/>
    </row>
    <row r="159" spans="1:8" s="973" customFormat="1" ht="158.4" hidden="1" x14ac:dyDescent="0.25">
      <c r="A159" s="920">
        <v>41050600</v>
      </c>
      <c r="B159" s="914" t="s">
        <v>795</v>
      </c>
      <c r="C159" s="1021">
        <f>D159+E159</f>
        <v>0</v>
      </c>
      <c r="D159" s="1021"/>
      <c r="E159" s="1030"/>
      <c r="F159" s="1031"/>
      <c r="G159" s="1032"/>
      <c r="H159" s="972"/>
    </row>
    <row r="160" spans="1:8" ht="92.4" hidden="1" x14ac:dyDescent="0.25">
      <c r="A160" s="920">
        <v>41050700</v>
      </c>
      <c r="B160" s="914" t="s">
        <v>796</v>
      </c>
      <c r="C160" s="1021">
        <f t="shared" si="2"/>
        <v>0</v>
      </c>
      <c r="D160" s="1021"/>
      <c r="E160" s="1028"/>
      <c r="F160" s="1029"/>
      <c r="G160" s="1033"/>
    </row>
    <row r="161" spans="1:8" ht="26.4" hidden="1" x14ac:dyDescent="0.25">
      <c r="A161" s="920">
        <v>41051000</v>
      </c>
      <c r="B161" s="1034" t="s">
        <v>797</v>
      </c>
      <c r="C161" s="1021">
        <f t="shared" si="2"/>
        <v>0</v>
      </c>
      <c r="D161" s="1021"/>
      <c r="E161" s="1028"/>
      <c r="F161" s="1029"/>
      <c r="G161" s="1033"/>
    </row>
    <row r="162" spans="1:8" ht="26.4" hidden="1" x14ac:dyDescent="0.25">
      <c r="A162" s="920"/>
      <c r="B162" s="1034" t="s">
        <v>798</v>
      </c>
      <c r="C162" s="1021">
        <f t="shared" si="2"/>
        <v>0</v>
      </c>
      <c r="D162" s="1021"/>
      <c r="E162" s="1028"/>
      <c r="F162" s="1029"/>
      <c r="G162" s="1033"/>
    </row>
    <row r="163" spans="1:8" hidden="1" x14ac:dyDescent="0.25">
      <c r="A163" s="920"/>
      <c r="B163" s="1034" t="s">
        <v>799</v>
      </c>
      <c r="C163" s="1021">
        <f t="shared" si="2"/>
        <v>0</v>
      </c>
      <c r="D163" s="1021"/>
      <c r="E163" s="1028"/>
      <c r="F163" s="1029"/>
      <c r="G163" s="1033"/>
    </row>
    <row r="164" spans="1:8" s="1037" customFormat="1" ht="39.6" hidden="1" x14ac:dyDescent="0.25">
      <c r="A164" s="1015">
        <v>41051500</v>
      </c>
      <c r="B164" s="1034" t="s">
        <v>800</v>
      </c>
      <c r="C164" s="1021">
        <f t="shared" si="2"/>
        <v>0</v>
      </c>
      <c r="D164" s="1022"/>
      <c r="E164" s="1035"/>
      <c r="F164" s="1035"/>
      <c r="G164" s="1036"/>
      <c r="H164" s="1036"/>
    </row>
    <row r="165" spans="1:8" s="973" customFormat="1" ht="26.4" hidden="1" x14ac:dyDescent="0.25">
      <c r="A165" s="920">
        <v>41052000</v>
      </c>
      <c r="B165" s="1038" t="s">
        <v>231</v>
      </c>
      <c r="C165" s="1021">
        <f t="shared" si="2"/>
        <v>0</v>
      </c>
      <c r="D165" s="1021"/>
      <c r="E165" s="1030"/>
      <c r="F165" s="1031"/>
      <c r="G165" s="972"/>
      <c r="H165" s="972"/>
    </row>
    <row r="166" spans="1:8" s="973" customFormat="1" ht="26.4" hidden="1" x14ac:dyDescent="0.25">
      <c r="A166" s="920">
        <v>41051100</v>
      </c>
      <c r="B166" s="1039" t="s">
        <v>801</v>
      </c>
      <c r="C166" s="1040">
        <f t="shared" si="2"/>
        <v>0</v>
      </c>
      <c r="D166" s="1025"/>
      <c r="E166" s="1030"/>
      <c r="F166" s="1031"/>
      <c r="G166" s="972"/>
      <c r="H166" s="972"/>
    </row>
    <row r="167" spans="1:8" s="973" customFormat="1" ht="26.4" hidden="1" x14ac:dyDescent="0.25">
      <c r="A167" s="920"/>
      <c r="B167" s="1041" t="s">
        <v>802</v>
      </c>
      <c r="C167" s="1042">
        <f t="shared" si="2"/>
        <v>0</v>
      </c>
      <c r="D167" s="1021"/>
      <c r="E167" s="1030"/>
      <c r="F167" s="1031"/>
      <c r="G167" s="972"/>
      <c r="H167" s="972"/>
    </row>
    <row r="168" spans="1:8" s="973" customFormat="1" ht="26.4" hidden="1" x14ac:dyDescent="0.25">
      <c r="A168" s="920"/>
      <c r="B168" s="1041" t="s">
        <v>803</v>
      </c>
      <c r="C168" s="1042">
        <f t="shared" si="2"/>
        <v>0</v>
      </c>
      <c r="D168" s="1021"/>
      <c r="E168" s="1030"/>
      <c r="F168" s="1031"/>
      <c r="G168" s="972"/>
      <c r="H168" s="972"/>
    </row>
    <row r="169" spans="1:8" s="973" customFormat="1" ht="26.4" hidden="1" x14ac:dyDescent="0.25">
      <c r="A169" s="920"/>
      <c r="B169" s="1041" t="s">
        <v>804</v>
      </c>
      <c r="C169" s="1042">
        <f t="shared" si="2"/>
        <v>0</v>
      </c>
      <c r="D169" s="1021"/>
      <c r="E169" s="1030"/>
      <c r="F169" s="1031"/>
      <c r="G169" s="972"/>
      <c r="H169" s="972"/>
    </row>
    <row r="170" spans="1:8" s="973" customFormat="1" ht="26.4" hidden="1" x14ac:dyDescent="0.25">
      <c r="A170" s="920">
        <v>41051200</v>
      </c>
      <c r="B170" s="1043" t="s">
        <v>805</v>
      </c>
      <c r="C170" s="1042">
        <f t="shared" si="2"/>
        <v>0</v>
      </c>
      <c r="D170" s="1021"/>
      <c r="E170" s="1030"/>
      <c r="F170" s="1031"/>
      <c r="G170" s="972"/>
      <c r="H170" s="972"/>
    </row>
    <row r="171" spans="1:8" s="973" customFormat="1" ht="39.6" hidden="1" x14ac:dyDescent="0.25">
      <c r="A171" s="920">
        <v>41051400</v>
      </c>
      <c r="B171" s="1043" t="s">
        <v>806</v>
      </c>
      <c r="C171" s="1042">
        <f t="shared" si="2"/>
        <v>0</v>
      </c>
      <c r="D171" s="1021"/>
      <c r="E171" s="1030"/>
      <c r="F171" s="1031"/>
      <c r="G171" s="972"/>
      <c r="H171" s="972"/>
    </row>
    <row r="172" spans="1:8" s="973" customFormat="1" hidden="1" x14ac:dyDescent="0.25">
      <c r="A172" s="920">
        <v>41053600</v>
      </c>
      <c r="B172" s="1043" t="s">
        <v>234</v>
      </c>
      <c r="C172" s="1042"/>
      <c r="D172" s="1021"/>
      <c r="E172" s="1030"/>
      <c r="F172" s="1031"/>
      <c r="G172" s="972"/>
      <c r="H172" s="972"/>
    </row>
    <row r="173" spans="1:8" s="973" customFormat="1" hidden="1" x14ac:dyDescent="0.25">
      <c r="A173" s="1044">
        <v>41053900</v>
      </c>
      <c r="B173" s="1034" t="s">
        <v>807</v>
      </c>
      <c r="C173" s="1025">
        <f t="shared" si="2"/>
        <v>0</v>
      </c>
      <c r="D173" s="1025">
        <f>SUM(D174:D190)</f>
        <v>0</v>
      </c>
      <c r="E173" s="1028">
        <f>SUM(E174:E190)</f>
        <v>0</v>
      </c>
      <c r="F173" s="1028">
        <f>SUM(F174:F190)</f>
        <v>0</v>
      </c>
      <c r="G173" s="972"/>
      <c r="H173" s="972"/>
    </row>
    <row r="174" spans="1:8" s="973" customFormat="1" ht="26.4" hidden="1" x14ac:dyDescent="0.25">
      <c r="A174" s="1833"/>
      <c r="B174" s="1045" t="s">
        <v>808</v>
      </c>
      <c r="C174" s="1021">
        <f t="shared" si="2"/>
        <v>0</v>
      </c>
      <c r="D174" s="1022"/>
      <c r="E174" s="1030"/>
      <c r="F174" s="1031"/>
      <c r="G174" s="972"/>
      <c r="H174" s="972"/>
    </row>
    <row r="175" spans="1:8" s="954" customFormat="1" ht="40.200000000000003" hidden="1" customHeight="1" x14ac:dyDescent="0.25">
      <c r="A175" s="1833"/>
      <c r="B175" s="1046" t="s">
        <v>809</v>
      </c>
      <c r="C175" s="1021">
        <f t="shared" si="2"/>
        <v>0</v>
      </c>
      <c r="D175" s="1022"/>
      <c r="E175" s="1030"/>
      <c r="F175" s="1031"/>
      <c r="G175" s="950"/>
      <c r="H175" s="950"/>
    </row>
    <row r="176" spans="1:8" s="973" customFormat="1" ht="26.4" hidden="1" x14ac:dyDescent="0.25">
      <c r="A176" s="1833"/>
      <c r="B176" s="1047" t="s">
        <v>810</v>
      </c>
      <c r="C176" s="1021">
        <f t="shared" si="2"/>
        <v>0</v>
      </c>
      <c r="D176" s="1022"/>
      <c r="E176" s="1030"/>
      <c r="F176" s="1031"/>
      <c r="G176" s="972"/>
      <c r="H176" s="972"/>
    </row>
    <row r="177" spans="1:8" s="973" customFormat="1" ht="26.4" hidden="1" x14ac:dyDescent="0.25">
      <c r="A177" s="1833"/>
      <c r="B177" s="1048" t="s">
        <v>811</v>
      </c>
      <c r="C177" s="1021">
        <f t="shared" si="2"/>
        <v>0</v>
      </c>
      <c r="D177" s="1022"/>
      <c r="E177" s="1030"/>
      <c r="F177" s="1031"/>
      <c r="G177" s="972"/>
      <c r="H177" s="972"/>
    </row>
    <row r="178" spans="1:8" s="973" customFormat="1" ht="30.6" hidden="1" customHeight="1" x14ac:dyDescent="0.25">
      <c r="A178" s="1833"/>
      <c r="B178" s="1049" t="s">
        <v>812</v>
      </c>
      <c r="C178" s="1021">
        <f t="shared" si="2"/>
        <v>0</v>
      </c>
      <c r="D178" s="1021"/>
      <c r="E178" s="1030"/>
      <c r="F178" s="1031"/>
      <c r="G178" s="972"/>
      <c r="H178" s="972"/>
    </row>
    <row r="179" spans="1:8" s="973" customFormat="1" hidden="1" x14ac:dyDescent="0.25">
      <c r="A179" s="1833"/>
      <c r="B179" s="1049" t="s">
        <v>813</v>
      </c>
      <c r="C179" s="1021">
        <f t="shared" si="2"/>
        <v>0</v>
      </c>
      <c r="D179" s="1021"/>
      <c r="E179" s="1030"/>
      <c r="F179" s="1031"/>
      <c r="G179" s="972"/>
      <c r="H179" s="972"/>
    </row>
    <row r="180" spans="1:8" s="973" customFormat="1" ht="52.8" hidden="1" x14ac:dyDescent="0.25">
      <c r="A180" s="1833"/>
      <c r="B180" s="1049" t="s">
        <v>814</v>
      </c>
      <c r="C180" s="1021">
        <f t="shared" si="2"/>
        <v>0</v>
      </c>
      <c r="D180" s="1021"/>
      <c r="E180" s="1030"/>
      <c r="F180" s="1031"/>
      <c r="G180" s="972"/>
      <c r="H180" s="972"/>
    </row>
    <row r="181" spans="1:8" s="973" customFormat="1" hidden="1" x14ac:dyDescent="0.25">
      <c r="A181" s="1833"/>
      <c r="B181" s="1049" t="s">
        <v>815</v>
      </c>
      <c r="C181" s="1021">
        <f t="shared" si="2"/>
        <v>0</v>
      </c>
      <c r="D181" s="1021"/>
      <c r="E181" s="1030"/>
      <c r="F181" s="1031"/>
      <c r="G181" s="972"/>
      <c r="H181" s="972"/>
    </row>
    <row r="182" spans="1:8" s="973" customFormat="1" hidden="1" x14ac:dyDescent="0.25">
      <c r="A182" s="1833"/>
      <c r="B182" s="1049" t="s">
        <v>816</v>
      </c>
      <c r="C182" s="1021">
        <f t="shared" si="2"/>
        <v>0</v>
      </c>
      <c r="D182" s="1021"/>
      <c r="E182" s="1030"/>
      <c r="F182" s="1031"/>
      <c r="G182" s="972"/>
      <c r="H182" s="972"/>
    </row>
    <row r="183" spans="1:8" s="973" customFormat="1" ht="66" hidden="1" x14ac:dyDescent="0.25">
      <c r="A183" s="1833"/>
      <c r="B183" s="1049" t="s">
        <v>817</v>
      </c>
      <c r="C183" s="1021">
        <f t="shared" si="2"/>
        <v>0</v>
      </c>
      <c r="D183" s="1021"/>
      <c r="E183" s="1030"/>
      <c r="F183" s="1031"/>
      <c r="G183" s="972"/>
      <c r="H183" s="972"/>
    </row>
    <row r="184" spans="1:8" s="973" customFormat="1" ht="26.4" hidden="1" x14ac:dyDescent="0.25">
      <c r="A184" s="1833"/>
      <c r="B184" s="1049" t="s">
        <v>804</v>
      </c>
      <c r="C184" s="1021">
        <f t="shared" si="2"/>
        <v>0</v>
      </c>
      <c r="D184" s="1021"/>
      <c r="E184" s="1030"/>
      <c r="F184" s="1031"/>
      <c r="G184" s="972"/>
      <c r="H184" s="972"/>
    </row>
    <row r="185" spans="1:8" s="973" customFormat="1" ht="52.8" hidden="1" x14ac:dyDescent="0.25">
      <c r="A185" s="1833"/>
      <c r="B185" s="1050" t="s">
        <v>818</v>
      </c>
      <c r="C185" s="1021">
        <f>D185+E185</f>
        <v>0</v>
      </c>
      <c r="D185" s="1021"/>
      <c r="E185" s="1030"/>
      <c r="F185" s="1031"/>
      <c r="G185" s="972"/>
      <c r="H185" s="972"/>
    </row>
    <row r="186" spans="1:8" s="973" customFormat="1" ht="26.4" hidden="1" x14ac:dyDescent="0.25">
      <c r="A186" s="1833"/>
      <c r="B186" s="1051" t="s">
        <v>819</v>
      </c>
      <c r="C186" s="1021">
        <f t="shared" si="2"/>
        <v>0</v>
      </c>
      <c r="D186" s="1021"/>
      <c r="E186" s="1030"/>
      <c r="F186" s="1031"/>
      <c r="G186" s="972"/>
      <c r="H186" s="972"/>
    </row>
    <row r="187" spans="1:8" s="973" customFormat="1" ht="26.4" hidden="1" x14ac:dyDescent="0.25">
      <c r="A187" s="1833"/>
      <c r="B187" s="914" t="s">
        <v>820</v>
      </c>
      <c r="C187" s="1031">
        <f t="shared" si="2"/>
        <v>0</v>
      </c>
      <c r="D187" s="1030"/>
      <c r="E187" s="1030"/>
      <c r="F187" s="1031"/>
      <c r="G187" s="972"/>
      <c r="H187" s="972"/>
    </row>
    <row r="188" spans="1:8" s="973" customFormat="1" ht="26.4" hidden="1" x14ac:dyDescent="0.25">
      <c r="A188" s="1833"/>
      <c r="B188" s="914" t="s">
        <v>821</v>
      </c>
      <c r="C188" s="1031">
        <f t="shared" si="2"/>
        <v>0</v>
      </c>
      <c r="D188" s="1030"/>
      <c r="E188" s="1030"/>
      <c r="F188" s="1031"/>
      <c r="G188" s="972"/>
      <c r="H188" s="972"/>
    </row>
    <row r="189" spans="1:8" s="973" customFormat="1" ht="26.4" hidden="1" x14ac:dyDescent="0.25">
      <c r="A189" s="1833"/>
      <c r="B189" s="914" t="s">
        <v>822</v>
      </c>
      <c r="C189" s="1031">
        <f t="shared" si="2"/>
        <v>0</v>
      </c>
      <c r="D189" s="1030"/>
      <c r="E189" s="1030"/>
      <c r="F189" s="1031"/>
      <c r="G189" s="972"/>
      <c r="H189" s="972"/>
    </row>
    <row r="190" spans="1:8" s="973" customFormat="1" hidden="1" x14ac:dyDescent="0.25">
      <c r="A190" s="1833"/>
      <c r="B190" s="914" t="s">
        <v>823</v>
      </c>
      <c r="C190" s="1031">
        <f t="shared" si="2"/>
        <v>0</v>
      </c>
      <c r="D190" s="1030"/>
      <c r="E190" s="1030"/>
      <c r="F190" s="1031"/>
      <c r="G190" s="972"/>
      <c r="H190" s="972"/>
    </row>
    <row r="191" spans="1:8" s="973" customFormat="1" ht="105.6" hidden="1" x14ac:dyDescent="0.25">
      <c r="A191" s="920">
        <v>41054200</v>
      </c>
      <c r="B191" s="914" t="s">
        <v>824</v>
      </c>
      <c r="C191" s="1031">
        <f t="shared" si="2"/>
        <v>0</v>
      </c>
      <c r="D191" s="1030"/>
      <c r="E191" s="1030"/>
      <c r="F191" s="1031"/>
      <c r="G191" s="972"/>
      <c r="H191" s="972"/>
    </row>
    <row r="192" spans="1:8" s="973" customFormat="1" ht="26.4" hidden="1" x14ac:dyDescent="0.25">
      <c r="A192" s="920">
        <v>41054300</v>
      </c>
      <c r="B192" s="914" t="s">
        <v>254</v>
      </c>
      <c r="C192" s="1042">
        <f t="shared" si="2"/>
        <v>0</v>
      </c>
      <c r="D192" s="1030"/>
      <c r="E192" s="1030"/>
      <c r="F192" s="1031"/>
      <c r="G192" s="972"/>
      <c r="H192" s="972"/>
    </row>
    <row r="193" spans="1:12" s="973" customFormat="1" ht="26.4" hidden="1" x14ac:dyDescent="0.25">
      <c r="A193" s="920">
        <v>41054500</v>
      </c>
      <c r="B193" s="914" t="s">
        <v>825</v>
      </c>
      <c r="C193" s="1042">
        <f t="shared" si="2"/>
        <v>0</v>
      </c>
      <c r="D193" s="1030"/>
      <c r="E193" s="1030"/>
      <c r="F193" s="1031"/>
      <c r="G193" s="972"/>
      <c r="H193" s="972"/>
    </row>
    <row r="194" spans="1:12" s="1057" customFormat="1" ht="15.6" x14ac:dyDescent="0.3">
      <c r="A194" s="1052"/>
      <c r="B194" s="1053" t="s">
        <v>826</v>
      </c>
      <c r="C194" s="1054">
        <f>D194+E194</f>
        <v>4231463660</v>
      </c>
      <c r="D194" s="1055">
        <f>D140+D137</f>
        <v>4013720700</v>
      </c>
      <c r="E194" s="1055">
        <f>E140+E137</f>
        <v>217742960</v>
      </c>
      <c r="F194" s="1054">
        <f>F140+F137</f>
        <v>44189000</v>
      </c>
      <c r="G194" s="1056"/>
      <c r="H194" s="1056"/>
    </row>
    <row r="195" spans="1:12" x14ac:dyDescent="0.25">
      <c r="E195" s="880"/>
      <c r="F195" s="1058"/>
    </row>
    <row r="196" spans="1:12" ht="18" x14ac:dyDescent="0.35">
      <c r="C196" s="1059"/>
      <c r="D196" s="1060"/>
      <c r="E196" s="1061"/>
      <c r="F196" s="1033"/>
    </row>
    <row r="197" spans="1:12" s="938" customFormat="1" ht="17.399999999999999" x14ac:dyDescent="0.3">
      <c r="A197" s="1834" t="s">
        <v>827</v>
      </c>
      <c r="B197" s="1834"/>
      <c r="C197" s="1062"/>
      <c r="D197" s="1063"/>
      <c r="E197" s="1064"/>
      <c r="F197" s="1065" t="s">
        <v>682</v>
      </c>
      <c r="G197" s="1066"/>
      <c r="H197" s="1066"/>
      <c r="I197" s="1067"/>
      <c r="J197" s="1067"/>
      <c r="K197" s="1067"/>
      <c r="L197" s="1067"/>
    </row>
    <row r="198" spans="1:12" x14ac:dyDescent="0.25">
      <c r="E198" s="880"/>
      <c r="F198" s="1058"/>
    </row>
    <row r="199" spans="1:12" x14ac:dyDescent="0.25">
      <c r="E199" s="880"/>
      <c r="F199" s="1058"/>
    </row>
    <row r="200" spans="1:12" x14ac:dyDescent="0.25">
      <c r="A200" s="1835"/>
      <c r="B200" s="1835"/>
      <c r="E200" s="880"/>
      <c r="F200" s="1058"/>
    </row>
    <row r="201" spans="1:12" x14ac:dyDescent="0.25">
      <c r="E201" s="880"/>
      <c r="F201" s="1058"/>
    </row>
    <row r="202" spans="1:12" x14ac:dyDescent="0.25">
      <c r="E202" s="880"/>
      <c r="F202" s="1058"/>
    </row>
    <row r="203" spans="1:12" x14ac:dyDescent="0.25">
      <c r="E203" s="880"/>
      <c r="F203" s="1058"/>
    </row>
    <row r="204" spans="1:12" x14ac:dyDescent="0.25">
      <c r="E204" s="880"/>
      <c r="F204" s="1058"/>
    </row>
    <row r="205" spans="1:12" x14ac:dyDescent="0.25">
      <c r="E205" s="880"/>
      <c r="F205" s="1058"/>
    </row>
    <row r="206" spans="1:12" x14ac:dyDescent="0.25">
      <c r="E206" s="880"/>
      <c r="F206" s="1058"/>
    </row>
    <row r="207" spans="1:12" x14ac:dyDescent="0.25">
      <c r="E207" s="1068"/>
      <c r="F207" s="1069"/>
    </row>
    <row r="208" spans="1:12" x14ac:dyDescent="0.25">
      <c r="E208" s="1068"/>
      <c r="F208" s="1069"/>
    </row>
    <row r="209" spans="5:6" x14ac:dyDescent="0.25">
      <c r="E209" s="1068"/>
      <c r="F209" s="1069"/>
    </row>
    <row r="210" spans="5:6" x14ac:dyDescent="0.25">
      <c r="E210" s="1068"/>
      <c r="F210" s="1069"/>
    </row>
    <row r="211" spans="5:6" x14ac:dyDescent="0.25">
      <c r="E211" s="1068"/>
      <c r="F211" s="1069"/>
    </row>
    <row r="212" spans="5:6" x14ac:dyDescent="0.25">
      <c r="E212" s="1068"/>
      <c r="F212" s="1069"/>
    </row>
    <row r="213" spans="5:6" x14ac:dyDescent="0.25">
      <c r="E213" s="1068"/>
      <c r="F213" s="1069"/>
    </row>
    <row r="214" spans="5:6" x14ac:dyDescent="0.25">
      <c r="E214" s="1068"/>
      <c r="F214" s="1069"/>
    </row>
    <row r="215" spans="5:6" x14ac:dyDescent="0.25">
      <c r="E215" s="1068"/>
      <c r="F215" s="1069"/>
    </row>
    <row r="216" spans="5:6" x14ac:dyDescent="0.25">
      <c r="E216" s="1070"/>
      <c r="F216" s="1071"/>
    </row>
    <row r="217" spans="5:6" x14ac:dyDescent="0.25">
      <c r="E217" s="1070"/>
      <c r="F217" s="1071"/>
    </row>
    <row r="218" spans="5:6" x14ac:dyDescent="0.25">
      <c r="E218" s="1070"/>
      <c r="F218" s="1071"/>
    </row>
    <row r="219" spans="5:6" x14ac:dyDescent="0.25">
      <c r="E219" s="1070"/>
      <c r="F219" s="1071"/>
    </row>
    <row r="220" spans="5:6" x14ac:dyDescent="0.25">
      <c r="E220" s="1070"/>
      <c r="F220" s="1071"/>
    </row>
    <row r="221" spans="5:6" x14ac:dyDescent="0.25">
      <c r="E221" s="1070"/>
      <c r="F221" s="1071"/>
    </row>
    <row r="222" spans="5:6" x14ac:dyDescent="0.25">
      <c r="E222" s="1070"/>
      <c r="F222" s="1071"/>
    </row>
    <row r="223" spans="5:6" x14ac:dyDescent="0.25">
      <c r="E223" s="1070"/>
      <c r="F223" s="1071"/>
    </row>
    <row r="224" spans="5:6" x14ac:dyDescent="0.25">
      <c r="E224" s="1070"/>
      <c r="F224" s="1071"/>
    </row>
    <row r="225" spans="5:6" x14ac:dyDescent="0.25">
      <c r="E225" s="1070"/>
      <c r="F225" s="1071"/>
    </row>
    <row r="226" spans="5:6" x14ac:dyDescent="0.25">
      <c r="E226" s="1070"/>
      <c r="F226" s="1071"/>
    </row>
    <row r="227" spans="5:6" x14ac:dyDescent="0.25">
      <c r="E227" s="1070"/>
      <c r="F227" s="1071"/>
    </row>
    <row r="228" spans="5:6" x14ac:dyDescent="0.25">
      <c r="E228" s="1070"/>
      <c r="F228" s="1071"/>
    </row>
    <row r="229" spans="5:6" x14ac:dyDescent="0.25">
      <c r="E229" s="1070"/>
      <c r="F229" s="1071"/>
    </row>
    <row r="230" spans="5:6" x14ac:dyDescent="0.25">
      <c r="E230" s="1070"/>
      <c r="F230" s="1071"/>
    </row>
    <row r="231" spans="5:6" x14ac:dyDescent="0.25">
      <c r="E231" s="1070"/>
      <c r="F231" s="1071"/>
    </row>
    <row r="232" spans="5:6" x14ac:dyDescent="0.25">
      <c r="E232" s="1070"/>
      <c r="F232" s="1071"/>
    </row>
    <row r="233" spans="5:6" x14ac:dyDescent="0.25">
      <c r="E233" s="1070"/>
      <c r="F233" s="1071"/>
    </row>
    <row r="234" spans="5:6" x14ac:dyDescent="0.25">
      <c r="E234" s="1070"/>
      <c r="F234" s="1071"/>
    </row>
    <row r="235" spans="5:6" x14ac:dyDescent="0.25">
      <c r="E235" s="1070"/>
      <c r="F235" s="1071"/>
    </row>
    <row r="236" spans="5:6" x14ac:dyDescent="0.25">
      <c r="E236" s="1070"/>
      <c r="F236" s="1071"/>
    </row>
    <row r="237" spans="5:6" x14ac:dyDescent="0.25">
      <c r="E237" s="1070"/>
      <c r="F237" s="1071"/>
    </row>
    <row r="238" spans="5:6" x14ac:dyDescent="0.25">
      <c r="E238" s="1070"/>
      <c r="F238" s="1071"/>
    </row>
    <row r="239" spans="5:6" x14ac:dyDescent="0.25">
      <c r="E239" s="1070"/>
      <c r="F239" s="1071"/>
    </row>
    <row r="240" spans="5:6" x14ac:dyDescent="0.25">
      <c r="E240" s="1070"/>
      <c r="F240" s="1071"/>
    </row>
    <row r="241" spans="5:6" x14ac:dyDescent="0.25">
      <c r="E241" s="1070"/>
      <c r="F241" s="1071"/>
    </row>
    <row r="242" spans="5:6" x14ac:dyDescent="0.25">
      <c r="E242" s="1070"/>
      <c r="F242" s="1071"/>
    </row>
    <row r="243" spans="5:6" x14ac:dyDescent="0.25">
      <c r="E243" s="1070"/>
      <c r="F243" s="1071"/>
    </row>
    <row r="244" spans="5:6" x14ac:dyDescent="0.25">
      <c r="E244" s="1070"/>
      <c r="F244" s="1071"/>
    </row>
    <row r="245" spans="5:6" x14ac:dyDescent="0.25">
      <c r="E245" s="1070"/>
      <c r="F245" s="1071"/>
    </row>
    <row r="246" spans="5:6" x14ac:dyDescent="0.25">
      <c r="E246" s="1070"/>
      <c r="F246" s="1071"/>
    </row>
    <row r="247" spans="5:6" x14ac:dyDescent="0.25">
      <c r="E247" s="1070"/>
      <c r="F247" s="1071"/>
    </row>
    <row r="248" spans="5:6" x14ac:dyDescent="0.25">
      <c r="E248" s="1070"/>
      <c r="F248" s="1071"/>
    </row>
    <row r="249" spans="5:6" x14ac:dyDescent="0.25">
      <c r="E249" s="1070"/>
      <c r="F249" s="1071"/>
    </row>
    <row r="250" spans="5:6" x14ac:dyDescent="0.25">
      <c r="E250" s="1070"/>
      <c r="F250" s="1071"/>
    </row>
    <row r="251" spans="5:6" x14ac:dyDescent="0.25">
      <c r="E251" s="1070"/>
      <c r="F251" s="1071"/>
    </row>
    <row r="252" spans="5:6" x14ac:dyDescent="0.25">
      <c r="E252" s="1070"/>
      <c r="F252" s="1071"/>
    </row>
    <row r="253" spans="5:6" x14ac:dyDescent="0.25">
      <c r="E253" s="1070"/>
      <c r="F253" s="1071"/>
    </row>
    <row r="254" spans="5:6" x14ac:dyDescent="0.25">
      <c r="E254" s="1070"/>
      <c r="F254" s="1071"/>
    </row>
    <row r="255" spans="5:6" x14ac:dyDescent="0.25">
      <c r="E255" s="1070"/>
      <c r="F255" s="1071"/>
    </row>
    <row r="256" spans="5:6" x14ac:dyDescent="0.25">
      <c r="E256" s="1070"/>
      <c r="F256" s="1071"/>
    </row>
    <row r="257" spans="5:6" x14ac:dyDescent="0.25">
      <c r="E257" s="1070"/>
      <c r="F257" s="1071"/>
    </row>
    <row r="258" spans="5:6" x14ac:dyDescent="0.25">
      <c r="E258" s="1070"/>
      <c r="F258" s="1071"/>
    </row>
    <row r="259" spans="5:6" x14ac:dyDescent="0.25">
      <c r="E259" s="1070"/>
      <c r="F259" s="1071"/>
    </row>
    <row r="260" spans="5:6" x14ac:dyDescent="0.25">
      <c r="E260" s="1070"/>
      <c r="F260" s="1071"/>
    </row>
    <row r="261" spans="5:6" x14ac:dyDescent="0.25">
      <c r="E261" s="1070"/>
      <c r="F261" s="1071"/>
    </row>
    <row r="262" spans="5:6" x14ac:dyDescent="0.25">
      <c r="E262" s="1070"/>
      <c r="F262" s="1071"/>
    </row>
    <row r="263" spans="5:6" x14ac:dyDescent="0.25">
      <c r="E263" s="1070"/>
      <c r="F263" s="1071"/>
    </row>
    <row r="264" spans="5:6" x14ac:dyDescent="0.25">
      <c r="E264" s="1070"/>
      <c r="F264" s="1071"/>
    </row>
    <row r="265" spans="5:6" x14ac:dyDescent="0.25">
      <c r="E265" s="1070"/>
      <c r="F265" s="1071"/>
    </row>
    <row r="266" spans="5:6" x14ac:dyDescent="0.25">
      <c r="E266" s="1070"/>
      <c r="F266" s="1071"/>
    </row>
    <row r="267" spans="5:6" x14ac:dyDescent="0.25">
      <c r="E267" s="1070"/>
      <c r="F267" s="1071"/>
    </row>
    <row r="268" spans="5:6" x14ac:dyDescent="0.25">
      <c r="E268" s="1070"/>
      <c r="F268" s="1071"/>
    </row>
    <row r="269" spans="5:6" x14ac:dyDescent="0.25">
      <c r="E269" s="1070"/>
      <c r="F269" s="1071"/>
    </row>
    <row r="270" spans="5:6" x14ac:dyDescent="0.25">
      <c r="E270" s="1070"/>
      <c r="F270" s="1071"/>
    </row>
    <row r="271" spans="5:6" x14ac:dyDescent="0.25">
      <c r="E271" s="1070"/>
      <c r="F271" s="1071"/>
    </row>
    <row r="272" spans="5:6" x14ac:dyDescent="0.25">
      <c r="E272" s="1070"/>
      <c r="F272" s="1071"/>
    </row>
    <row r="273" spans="5:6" x14ac:dyDescent="0.25">
      <c r="E273" s="1070"/>
      <c r="F273" s="1071"/>
    </row>
    <row r="274" spans="5:6" x14ac:dyDescent="0.25">
      <c r="E274" s="1070"/>
      <c r="F274" s="1071"/>
    </row>
    <row r="275" spans="5:6" x14ac:dyDescent="0.25">
      <c r="E275" s="1070"/>
      <c r="F275" s="1071"/>
    </row>
    <row r="276" spans="5:6" x14ac:dyDescent="0.25">
      <c r="E276" s="1070"/>
      <c r="F276" s="1071"/>
    </row>
    <row r="277" spans="5:6" x14ac:dyDescent="0.25">
      <c r="E277" s="1070"/>
      <c r="F277" s="1071"/>
    </row>
    <row r="278" spans="5:6" x14ac:dyDescent="0.25">
      <c r="E278" s="1070"/>
      <c r="F278" s="1071"/>
    </row>
    <row r="279" spans="5:6" x14ac:dyDescent="0.25">
      <c r="E279" s="1070"/>
      <c r="F279" s="1071"/>
    </row>
    <row r="280" spans="5:6" x14ac:dyDescent="0.25">
      <c r="E280" s="1070"/>
      <c r="F280" s="1071"/>
    </row>
    <row r="281" spans="5:6" x14ac:dyDescent="0.25">
      <c r="E281" s="1070"/>
      <c r="F281" s="1071"/>
    </row>
    <row r="282" spans="5:6" x14ac:dyDescent="0.25">
      <c r="E282" s="1070"/>
      <c r="F282" s="1071"/>
    </row>
    <row r="283" spans="5:6" x14ac:dyDescent="0.25">
      <c r="E283" s="1070"/>
      <c r="F283" s="1071"/>
    </row>
    <row r="284" spans="5:6" x14ac:dyDescent="0.25">
      <c r="E284" s="1070"/>
      <c r="F284" s="1071"/>
    </row>
    <row r="285" spans="5:6" x14ac:dyDescent="0.25">
      <c r="E285" s="1070"/>
      <c r="F285" s="1071"/>
    </row>
    <row r="286" spans="5:6" x14ac:dyDescent="0.25">
      <c r="E286" s="1070"/>
      <c r="F286" s="1071"/>
    </row>
    <row r="287" spans="5:6" x14ac:dyDescent="0.25">
      <c r="E287" s="1070"/>
      <c r="F287" s="1071"/>
    </row>
    <row r="288" spans="5:6" x14ac:dyDescent="0.25">
      <c r="E288" s="1070"/>
      <c r="F288" s="1071"/>
    </row>
    <row r="289" spans="5:6" x14ac:dyDescent="0.25">
      <c r="E289" s="1070"/>
      <c r="F289" s="1071"/>
    </row>
  </sheetData>
  <mergeCells count="12">
    <mergeCell ref="A174:A190"/>
    <mergeCell ref="A197:B197"/>
    <mergeCell ref="A200:B200"/>
    <mergeCell ref="E1:F2"/>
    <mergeCell ref="A4:F4"/>
    <mergeCell ref="A5:F5"/>
    <mergeCell ref="A6:F6"/>
    <mergeCell ref="A8:A9"/>
    <mergeCell ref="B8:B9"/>
    <mergeCell ref="C8:C9"/>
    <mergeCell ref="D8:D9"/>
    <mergeCell ref="E8:F8"/>
  </mergeCells>
  <printOptions horizontalCentered="1"/>
  <pageMargins left="0.47244094488188981" right="0.23622047244094491" top="0.35433070866141736" bottom="0.43307086614173229" header="0.39370078740157483" footer="0.39370078740157483"/>
  <pageSetup paperSize="9" scale="64" fitToHeight="3"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59"/>
  <sheetViews>
    <sheetView showGridLines="0" showZeros="0" zoomScaleNormal="100" workbookViewId="0">
      <selection activeCell="F69" sqref="F69"/>
    </sheetView>
  </sheetViews>
  <sheetFormatPr defaultColWidth="9.109375" defaultRowHeight="12.75" customHeight="1" x14ac:dyDescent="0.25"/>
  <cols>
    <col min="1" max="1" width="16.6640625" style="1074" customWidth="1"/>
    <col min="2" max="2" width="46.33203125" style="1074" customWidth="1"/>
    <col min="3" max="3" width="18.44140625" style="1074" customWidth="1"/>
    <col min="4" max="4" width="18.33203125" style="1074" customWidth="1"/>
    <col min="5" max="5" width="19.88671875" style="1074" customWidth="1"/>
    <col min="6" max="6" width="21.6640625" style="1074" customWidth="1"/>
    <col min="7" max="7" width="9.109375" style="1074" customWidth="1"/>
    <col min="8" max="8" width="26.6640625" style="1074" customWidth="1"/>
    <col min="9" max="9" width="21.44140625" style="1074" customWidth="1"/>
    <col min="10" max="10" width="9.109375" style="1074" customWidth="1"/>
    <col min="11" max="11" width="16.44140625" style="1074" customWidth="1"/>
    <col min="12" max="12" width="9.109375" style="1074" customWidth="1"/>
    <col min="13" max="256" width="9.109375" style="1076"/>
    <col min="257" max="257" width="16.6640625" style="1076" customWidth="1"/>
    <col min="258" max="258" width="46.33203125" style="1076" customWidth="1"/>
    <col min="259" max="259" width="18.44140625" style="1076" customWidth="1"/>
    <col min="260" max="260" width="18.33203125" style="1076" customWidth="1"/>
    <col min="261" max="261" width="19.88671875" style="1076" customWidth="1"/>
    <col min="262" max="262" width="21.6640625" style="1076" customWidth="1"/>
    <col min="263" max="263" width="9.109375" style="1076" customWidth="1"/>
    <col min="264" max="264" width="26.6640625" style="1076" customWidth="1"/>
    <col min="265" max="265" width="21.44140625" style="1076" customWidth="1"/>
    <col min="266" max="266" width="9.109375" style="1076" customWidth="1"/>
    <col min="267" max="267" width="16.44140625" style="1076" customWidth="1"/>
    <col min="268" max="268" width="9.109375" style="1076" customWidth="1"/>
    <col min="269" max="512" width="9.109375" style="1076"/>
    <col min="513" max="513" width="16.6640625" style="1076" customWidth="1"/>
    <col min="514" max="514" width="46.33203125" style="1076" customWidth="1"/>
    <col min="515" max="515" width="18.44140625" style="1076" customWidth="1"/>
    <col min="516" max="516" width="18.33203125" style="1076" customWidth="1"/>
    <col min="517" max="517" width="19.88671875" style="1076" customWidth="1"/>
    <col min="518" max="518" width="21.6640625" style="1076" customWidth="1"/>
    <col min="519" max="519" width="9.109375" style="1076" customWidth="1"/>
    <col min="520" max="520" width="26.6640625" style="1076" customWidth="1"/>
    <col min="521" max="521" width="21.44140625" style="1076" customWidth="1"/>
    <col min="522" max="522" width="9.109375" style="1076" customWidth="1"/>
    <col min="523" max="523" width="16.44140625" style="1076" customWidth="1"/>
    <col min="524" max="524" width="9.109375" style="1076" customWidth="1"/>
    <col min="525" max="768" width="9.109375" style="1076"/>
    <col min="769" max="769" width="16.6640625" style="1076" customWidth="1"/>
    <col min="770" max="770" width="46.33203125" style="1076" customWidth="1"/>
    <col min="771" max="771" width="18.44140625" style="1076" customWidth="1"/>
    <col min="772" max="772" width="18.33203125" style="1076" customWidth="1"/>
    <col min="773" max="773" width="19.88671875" style="1076" customWidth="1"/>
    <col min="774" max="774" width="21.6640625" style="1076" customWidth="1"/>
    <col min="775" max="775" width="9.109375" style="1076" customWidth="1"/>
    <col min="776" max="776" width="26.6640625" style="1076" customWidth="1"/>
    <col min="777" max="777" width="21.44140625" style="1076" customWidth="1"/>
    <col min="778" max="778" width="9.109375" style="1076" customWidth="1"/>
    <col min="779" max="779" width="16.44140625" style="1076" customWidth="1"/>
    <col min="780" max="780" width="9.109375" style="1076" customWidth="1"/>
    <col min="781" max="1024" width="9.109375" style="1076"/>
    <col min="1025" max="1025" width="16.6640625" style="1076" customWidth="1"/>
    <col min="1026" max="1026" width="46.33203125" style="1076" customWidth="1"/>
    <col min="1027" max="1027" width="18.44140625" style="1076" customWidth="1"/>
    <col min="1028" max="1028" width="18.33203125" style="1076" customWidth="1"/>
    <col min="1029" max="1029" width="19.88671875" style="1076" customWidth="1"/>
    <col min="1030" max="1030" width="21.6640625" style="1076" customWidth="1"/>
    <col min="1031" max="1031" width="9.109375" style="1076" customWidth="1"/>
    <col min="1032" max="1032" width="26.6640625" style="1076" customWidth="1"/>
    <col min="1033" max="1033" width="21.44140625" style="1076" customWidth="1"/>
    <col min="1034" max="1034" width="9.109375" style="1076" customWidth="1"/>
    <col min="1035" max="1035" width="16.44140625" style="1076" customWidth="1"/>
    <col min="1036" max="1036" width="9.109375" style="1076" customWidth="1"/>
    <col min="1037" max="1280" width="9.109375" style="1076"/>
    <col min="1281" max="1281" width="16.6640625" style="1076" customWidth="1"/>
    <col min="1282" max="1282" width="46.33203125" style="1076" customWidth="1"/>
    <col min="1283" max="1283" width="18.44140625" style="1076" customWidth="1"/>
    <col min="1284" max="1284" width="18.33203125" style="1076" customWidth="1"/>
    <col min="1285" max="1285" width="19.88671875" style="1076" customWidth="1"/>
    <col min="1286" max="1286" width="21.6640625" style="1076" customWidth="1"/>
    <col min="1287" max="1287" width="9.109375" style="1076" customWidth="1"/>
    <col min="1288" max="1288" width="26.6640625" style="1076" customWidth="1"/>
    <col min="1289" max="1289" width="21.44140625" style="1076" customWidth="1"/>
    <col min="1290" max="1290" width="9.109375" style="1076" customWidth="1"/>
    <col min="1291" max="1291" width="16.44140625" style="1076" customWidth="1"/>
    <col min="1292" max="1292" width="9.109375" style="1076" customWidth="1"/>
    <col min="1293" max="1536" width="9.109375" style="1076"/>
    <col min="1537" max="1537" width="16.6640625" style="1076" customWidth="1"/>
    <col min="1538" max="1538" width="46.33203125" style="1076" customWidth="1"/>
    <col min="1539" max="1539" width="18.44140625" style="1076" customWidth="1"/>
    <col min="1540" max="1540" width="18.33203125" style="1076" customWidth="1"/>
    <col min="1541" max="1541" width="19.88671875" style="1076" customWidth="1"/>
    <col min="1542" max="1542" width="21.6640625" style="1076" customWidth="1"/>
    <col min="1543" max="1543" width="9.109375" style="1076" customWidth="1"/>
    <col min="1544" max="1544" width="26.6640625" style="1076" customWidth="1"/>
    <col min="1545" max="1545" width="21.44140625" style="1076" customWidth="1"/>
    <col min="1546" max="1546" width="9.109375" style="1076" customWidth="1"/>
    <col min="1547" max="1547" width="16.44140625" style="1076" customWidth="1"/>
    <col min="1548" max="1548" width="9.109375" style="1076" customWidth="1"/>
    <col min="1549" max="1792" width="9.109375" style="1076"/>
    <col min="1793" max="1793" width="16.6640625" style="1076" customWidth="1"/>
    <col min="1794" max="1794" width="46.33203125" style="1076" customWidth="1"/>
    <col min="1795" max="1795" width="18.44140625" style="1076" customWidth="1"/>
    <col min="1796" max="1796" width="18.33203125" style="1076" customWidth="1"/>
    <col min="1797" max="1797" width="19.88671875" style="1076" customWidth="1"/>
    <col min="1798" max="1798" width="21.6640625" style="1076" customWidth="1"/>
    <col min="1799" max="1799" width="9.109375" style="1076" customWidth="1"/>
    <col min="1800" max="1800" width="26.6640625" style="1076" customWidth="1"/>
    <col min="1801" max="1801" width="21.44140625" style="1076" customWidth="1"/>
    <col min="1802" max="1802" width="9.109375" style="1076" customWidth="1"/>
    <col min="1803" max="1803" width="16.44140625" style="1076" customWidth="1"/>
    <col min="1804" max="1804" width="9.109375" style="1076" customWidth="1"/>
    <col min="1805" max="2048" width="9.109375" style="1076"/>
    <col min="2049" max="2049" width="16.6640625" style="1076" customWidth="1"/>
    <col min="2050" max="2050" width="46.33203125" style="1076" customWidth="1"/>
    <col min="2051" max="2051" width="18.44140625" style="1076" customWidth="1"/>
    <col min="2052" max="2052" width="18.33203125" style="1076" customWidth="1"/>
    <col min="2053" max="2053" width="19.88671875" style="1076" customWidth="1"/>
    <col min="2054" max="2054" width="21.6640625" style="1076" customWidth="1"/>
    <col min="2055" max="2055" width="9.109375" style="1076" customWidth="1"/>
    <col min="2056" max="2056" width="26.6640625" style="1076" customWidth="1"/>
    <col min="2057" max="2057" width="21.44140625" style="1076" customWidth="1"/>
    <col min="2058" max="2058" width="9.109375" style="1076" customWidth="1"/>
    <col min="2059" max="2059" width="16.44140625" style="1076" customWidth="1"/>
    <col min="2060" max="2060" width="9.109375" style="1076" customWidth="1"/>
    <col min="2061" max="2304" width="9.109375" style="1076"/>
    <col min="2305" max="2305" width="16.6640625" style="1076" customWidth="1"/>
    <col min="2306" max="2306" width="46.33203125" style="1076" customWidth="1"/>
    <col min="2307" max="2307" width="18.44140625" style="1076" customWidth="1"/>
    <col min="2308" max="2308" width="18.33203125" style="1076" customWidth="1"/>
    <col min="2309" max="2309" width="19.88671875" style="1076" customWidth="1"/>
    <col min="2310" max="2310" width="21.6640625" style="1076" customWidth="1"/>
    <col min="2311" max="2311" width="9.109375" style="1076" customWidth="1"/>
    <col min="2312" max="2312" width="26.6640625" style="1076" customWidth="1"/>
    <col min="2313" max="2313" width="21.44140625" style="1076" customWidth="1"/>
    <col min="2314" max="2314" width="9.109375" style="1076" customWidth="1"/>
    <col min="2315" max="2315" width="16.44140625" style="1076" customWidth="1"/>
    <col min="2316" max="2316" width="9.109375" style="1076" customWidth="1"/>
    <col min="2317" max="2560" width="9.109375" style="1076"/>
    <col min="2561" max="2561" width="16.6640625" style="1076" customWidth="1"/>
    <col min="2562" max="2562" width="46.33203125" style="1076" customWidth="1"/>
    <col min="2563" max="2563" width="18.44140625" style="1076" customWidth="1"/>
    <col min="2564" max="2564" width="18.33203125" style="1076" customWidth="1"/>
    <col min="2565" max="2565" width="19.88671875" style="1076" customWidth="1"/>
    <col min="2566" max="2566" width="21.6640625" style="1076" customWidth="1"/>
    <col min="2567" max="2567" width="9.109375" style="1076" customWidth="1"/>
    <col min="2568" max="2568" width="26.6640625" style="1076" customWidth="1"/>
    <col min="2569" max="2569" width="21.44140625" style="1076" customWidth="1"/>
    <col min="2570" max="2570" width="9.109375" style="1076" customWidth="1"/>
    <col min="2571" max="2571" width="16.44140625" style="1076" customWidth="1"/>
    <col min="2572" max="2572" width="9.109375" style="1076" customWidth="1"/>
    <col min="2573" max="2816" width="9.109375" style="1076"/>
    <col min="2817" max="2817" width="16.6640625" style="1076" customWidth="1"/>
    <col min="2818" max="2818" width="46.33203125" style="1076" customWidth="1"/>
    <col min="2819" max="2819" width="18.44140625" style="1076" customWidth="1"/>
    <col min="2820" max="2820" width="18.33203125" style="1076" customWidth="1"/>
    <col min="2821" max="2821" width="19.88671875" style="1076" customWidth="1"/>
    <col min="2822" max="2822" width="21.6640625" style="1076" customWidth="1"/>
    <col min="2823" max="2823" width="9.109375" style="1076" customWidth="1"/>
    <col min="2824" max="2824" width="26.6640625" style="1076" customWidth="1"/>
    <col min="2825" max="2825" width="21.44140625" style="1076" customWidth="1"/>
    <col min="2826" max="2826" width="9.109375" style="1076" customWidth="1"/>
    <col min="2827" max="2827" width="16.44140625" style="1076" customWidth="1"/>
    <col min="2828" max="2828" width="9.109375" style="1076" customWidth="1"/>
    <col min="2829" max="3072" width="9.109375" style="1076"/>
    <col min="3073" max="3073" width="16.6640625" style="1076" customWidth="1"/>
    <col min="3074" max="3074" width="46.33203125" style="1076" customWidth="1"/>
    <col min="3075" max="3075" width="18.44140625" style="1076" customWidth="1"/>
    <col min="3076" max="3076" width="18.33203125" style="1076" customWidth="1"/>
    <col min="3077" max="3077" width="19.88671875" style="1076" customWidth="1"/>
    <col min="3078" max="3078" width="21.6640625" style="1076" customWidth="1"/>
    <col min="3079" max="3079" width="9.109375" style="1076" customWidth="1"/>
    <col min="3080" max="3080" width="26.6640625" style="1076" customWidth="1"/>
    <col min="3081" max="3081" width="21.44140625" style="1076" customWidth="1"/>
    <col min="3082" max="3082" width="9.109375" style="1076" customWidth="1"/>
    <col min="3083" max="3083" width="16.44140625" style="1076" customWidth="1"/>
    <col min="3084" max="3084" width="9.109375" style="1076" customWidth="1"/>
    <col min="3085" max="3328" width="9.109375" style="1076"/>
    <col min="3329" max="3329" width="16.6640625" style="1076" customWidth="1"/>
    <col min="3330" max="3330" width="46.33203125" style="1076" customWidth="1"/>
    <col min="3331" max="3331" width="18.44140625" style="1076" customWidth="1"/>
    <col min="3332" max="3332" width="18.33203125" style="1076" customWidth="1"/>
    <col min="3333" max="3333" width="19.88671875" style="1076" customWidth="1"/>
    <col min="3334" max="3334" width="21.6640625" style="1076" customWidth="1"/>
    <col min="3335" max="3335" width="9.109375" style="1076" customWidth="1"/>
    <col min="3336" max="3336" width="26.6640625" style="1076" customWidth="1"/>
    <col min="3337" max="3337" width="21.44140625" style="1076" customWidth="1"/>
    <col min="3338" max="3338" width="9.109375" style="1076" customWidth="1"/>
    <col min="3339" max="3339" width="16.44140625" style="1076" customWidth="1"/>
    <col min="3340" max="3340" width="9.109375" style="1076" customWidth="1"/>
    <col min="3341" max="3584" width="9.109375" style="1076"/>
    <col min="3585" max="3585" width="16.6640625" style="1076" customWidth="1"/>
    <col min="3586" max="3586" width="46.33203125" style="1076" customWidth="1"/>
    <col min="3587" max="3587" width="18.44140625" style="1076" customWidth="1"/>
    <col min="3588" max="3588" width="18.33203125" style="1076" customWidth="1"/>
    <col min="3589" max="3589" width="19.88671875" style="1076" customWidth="1"/>
    <col min="3590" max="3590" width="21.6640625" style="1076" customWidth="1"/>
    <col min="3591" max="3591" width="9.109375" style="1076" customWidth="1"/>
    <col min="3592" max="3592" width="26.6640625" style="1076" customWidth="1"/>
    <col min="3593" max="3593" width="21.44140625" style="1076" customWidth="1"/>
    <col min="3594" max="3594" width="9.109375" style="1076" customWidth="1"/>
    <col min="3595" max="3595" width="16.44140625" style="1076" customWidth="1"/>
    <col min="3596" max="3596" width="9.109375" style="1076" customWidth="1"/>
    <col min="3597" max="3840" width="9.109375" style="1076"/>
    <col min="3841" max="3841" width="16.6640625" style="1076" customWidth="1"/>
    <col min="3842" max="3842" width="46.33203125" style="1076" customWidth="1"/>
    <col min="3843" max="3843" width="18.44140625" style="1076" customWidth="1"/>
    <col min="3844" max="3844" width="18.33203125" style="1076" customWidth="1"/>
    <col min="3845" max="3845" width="19.88671875" style="1076" customWidth="1"/>
    <col min="3846" max="3846" width="21.6640625" style="1076" customWidth="1"/>
    <col min="3847" max="3847" width="9.109375" style="1076" customWidth="1"/>
    <col min="3848" max="3848" width="26.6640625" style="1076" customWidth="1"/>
    <col min="3849" max="3849" width="21.44140625" style="1076" customWidth="1"/>
    <col min="3850" max="3850" width="9.109375" style="1076" customWidth="1"/>
    <col min="3851" max="3851" width="16.44140625" style="1076" customWidth="1"/>
    <col min="3852" max="3852" width="9.109375" style="1076" customWidth="1"/>
    <col min="3853" max="4096" width="9.109375" style="1076"/>
    <col min="4097" max="4097" width="16.6640625" style="1076" customWidth="1"/>
    <col min="4098" max="4098" width="46.33203125" style="1076" customWidth="1"/>
    <col min="4099" max="4099" width="18.44140625" style="1076" customWidth="1"/>
    <col min="4100" max="4100" width="18.33203125" style="1076" customWidth="1"/>
    <col min="4101" max="4101" width="19.88671875" style="1076" customWidth="1"/>
    <col min="4102" max="4102" width="21.6640625" style="1076" customWidth="1"/>
    <col min="4103" max="4103" width="9.109375" style="1076" customWidth="1"/>
    <col min="4104" max="4104" width="26.6640625" style="1076" customWidth="1"/>
    <col min="4105" max="4105" width="21.44140625" style="1076" customWidth="1"/>
    <col min="4106" max="4106" width="9.109375" style="1076" customWidth="1"/>
    <col min="4107" max="4107" width="16.44140625" style="1076" customWidth="1"/>
    <col min="4108" max="4108" width="9.109375" style="1076" customWidth="1"/>
    <col min="4109" max="4352" width="9.109375" style="1076"/>
    <col min="4353" max="4353" width="16.6640625" style="1076" customWidth="1"/>
    <col min="4354" max="4354" width="46.33203125" style="1076" customWidth="1"/>
    <col min="4355" max="4355" width="18.44140625" style="1076" customWidth="1"/>
    <col min="4356" max="4356" width="18.33203125" style="1076" customWidth="1"/>
    <col min="4357" max="4357" width="19.88671875" style="1076" customWidth="1"/>
    <col min="4358" max="4358" width="21.6640625" style="1076" customWidth="1"/>
    <col min="4359" max="4359" width="9.109375" style="1076" customWidth="1"/>
    <col min="4360" max="4360" width="26.6640625" style="1076" customWidth="1"/>
    <col min="4361" max="4361" width="21.44140625" style="1076" customWidth="1"/>
    <col min="4362" max="4362" width="9.109375" style="1076" customWidth="1"/>
    <col min="4363" max="4363" width="16.44140625" style="1076" customWidth="1"/>
    <col min="4364" max="4364" width="9.109375" style="1076" customWidth="1"/>
    <col min="4365" max="4608" width="9.109375" style="1076"/>
    <col min="4609" max="4609" width="16.6640625" style="1076" customWidth="1"/>
    <col min="4610" max="4610" width="46.33203125" style="1076" customWidth="1"/>
    <col min="4611" max="4611" width="18.44140625" style="1076" customWidth="1"/>
    <col min="4612" max="4612" width="18.33203125" style="1076" customWidth="1"/>
    <col min="4613" max="4613" width="19.88671875" style="1076" customWidth="1"/>
    <col min="4614" max="4614" width="21.6640625" style="1076" customWidth="1"/>
    <col min="4615" max="4615" width="9.109375" style="1076" customWidth="1"/>
    <col min="4616" max="4616" width="26.6640625" style="1076" customWidth="1"/>
    <col min="4617" max="4617" width="21.44140625" style="1076" customWidth="1"/>
    <col min="4618" max="4618" width="9.109375" style="1076" customWidth="1"/>
    <col min="4619" max="4619" width="16.44140625" style="1076" customWidth="1"/>
    <col min="4620" max="4620" width="9.109375" style="1076" customWidth="1"/>
    <col min="4621" max="4864" width="9.109375" style="1076"/>
    <col min="4865" max="4865" width="16.6640625" style="1076" customWidth="1"/>
    <col min="4866" max="4866" width="46.33203125" style="1076" customWidth="1"/>
    <col min="4867" max="4867" width="18.44140625" style="1076" customWidth="1"/>
    <col min="4868" max="4868" width="18.33203125" style="1076" customWidth="1"/>
    <col min="4869" max="4869" width="19.88671875" style="1076" customWidth="1"/>
    <col min="4870" max="4870" width="21.6640625" style="1076" customWidth="1"/>
    <col min="4871" max="4871" width="9.109375" style="1076" customWidth="1"/>
    <col min="4872" max="4872" width="26.6640625" style="1076" customWidth="1"/>
    <col min="4873" max="4873" width="21.44140625" style="1076" customWidth="1"/>
    <col min="4874" max="4874" width="9.109375" style="1076" customWidth="1"/>
    <col min="4875" max="4875" width="16.44140625" style="1076" customWidth="1"/>
    <col min="4876" max="4876" width="9.109375" style="1076" customWidth="1"/>
    <col min="4877" max="5120" width="9.109375" style="1076"/>
    <col min="5121" max="5121" width="16.6640625" style="1076" customWidth="1"/>
    <col min="5122" max="5122" width="46.33203125" style="1076" customWidth="1"/>
    <col min="5123" max="5123" width="18.44140625" style="1076" customWidth="1"/>
    <col min="5124" max="5124" width="18.33203125" style="1076" customWidth="1"/>
    <col min="5125" max="5125" width="19.88671875" style="1076" customWidth="1"/>
    <col min="5126" max="5126" width="21.6640625" style="1076" customWidth="1"/>
    <col min="5127" max="5127" width="9.109375" style="1076" customWidth="1"/>
    <col min="5128" max="5128" width="26.6640625" style="1076" customWidth="1"/>
    <col min="5129" max="5129" width="21.44140625" style="1076" customWidth="1"/>
    <col min="5130" max="5130" width="9.109375" style="1076" customWidth="1"/>
    <col min="5131" max="5131" width="16.44140625" style="1076" customWidth="1"/>
    <col min="5132" max="5132" width="9.109375" style="1076" customWidth="1"/>
    <col min="5133" max="5376" width="9.109375" style="1076"/>
    <col min="5377" max="5377" width="16.6640625" style="1076" customWidth="1"/>
    <col min="5378" max="5378" width="46.33203125" style="1076" customWidth="1"/>
    <col min="5379" max="5379" width="18.44140625" style="1076" customWidth="1"/>
    <col min="5380" max="5380" width="18.33203125" style="1076" customWidth="1"/>
    <col min="5381" max="5381" width="19.88671875" style="1076" customWidth="1"/>
    <col min="5382" max="5382" width="21.6640625" style="1076" customWidth="1"/>
    <col min="5383" max="5383" width="9.109375" style="1076" customWidth="1"/>
    <col min="5384" max="5384" width="26.6640625" style="1076" customWidth="1"/>
    <col min="5385" max="5385" width="21.44140625" style="1076" customWidth="1"/>
    <col min="5386" max="5386" width="9.109375" style="1076" customWidth="1"/>
    <col min="5387" max="5387" width="16.44140625" style="1076" customWidth="1"/>
    <col min="5388" max="5388" width="9.109375" style="1076" customWidth="1"/>
    <col min="5389" max="5632" width="9.109375" style="1076"/>
    <col min="5633" max="5633" width="16.6640625" style="1076" customWidth="1"/>
    <col min="5634" max="5634" width="46.33203125" style="1076" customWidth="1"/>
    <col min="5635" max="5635" width="18.44140625" style="1076" customWidth="1"/>
    <col min="5636" max="5636" width="18.33203125" style="1076" customWidth="1"/>
    <col min="5637" max="5637" width="19.88671875" style="1076" customWidth="1"/>
    <col min="5638" max="5638" width="21.6640625" style="1076" customWidth="1"/>
    <col min="5639" max="5639" width="9.109375" style="1076" customWidth="1"/>
    <col min="5640" max="5640" width="26.6640625" style="1076" customWidth="1"/>
    <col min="5641" max="5641" width="21.44140625" style="1076" customWidth="1"/>
    <col min="5642" max="5642" width="9.109375" style="1076" customWidth="1"/>
    <col min="5643" max="5643" width="16.44140625" style="1076" customWidth="1"/>
    <col min="5644" max="5644" width="9.109375" style="1076" customWidth="1"/>
    <col min="5645" max="5888" width="9.109375" style="1076"/>
    <col min="5889" max="5889" width="16.6640625" style="1076" customWidth="1"/>
    <col min="5890" max="5890" width="46.33203125" style="1076" customWidth="1"/>
    <col min="5891" max="5891" width="18.44140625" style="1076" customWidth="1"/>
    <col min="5892" max="5892" width="18.33203125" style="1076" customWidth="1"/>
    <col min="5893" max="5893" width="19.88671875" style="1076" customWidth="1"/>
    <col min="5894" max="5894" width="21.6640625" style="1076" customWidth="1"/>
    <col min="5895" max="5895" width="9.109375" style="1076" customWidth="1"/>
    <col min="5896" max="5896" width="26.6640625" style="1076" customWidth="1"/>
    <col min="5897" max="5897" width="21.44140625" style="1076" customWidth="1"/>
    <col min="5898" max="5898" width="9.109375" style="1076" customWidth="1"/>
    <col min="5899" max="5899" width="16.44140625" style="1076" customWidth="1"/>
    <col min="5900" max="5900" width="9.109375" style="1076" customWidth="1"/>
    <col min="5901" max="6144" width="9.109375" style="1076"/>
    <col min="6145" max="6145" width="16.6640625" style="1076" customWidth="1"/>
    <col min="6146" max="6146" width="46.33203125" style="1076" customWidth="1"/>
    <col min="6147" max="6147" width="18.44140625" style="1076" customWidth="1"/>
    <col min="6148" max="6148" width="18.33203125" style="1076" customWidth="1"/>
    <col min="6149" max="6149" width="19.88671875" style="1076" customWidth="1"/>
    <col min="6150" max="6150" width="21.6640625" style="1076" customWidth="1"/>
    <col min="6151" max="6151" width="9.109375" style="1076" customWidth="1"/>
    <col min="6152" max="6152" width="26.6640625" style="1076" customWidth="1"/>
    <col min="6153" max="6153" width="21.44140625" style="1076" customWidth="1"/>
    <col min="6154" max="6154" width="9.109375" style="1076" customWidth="1"/>
    <col min="6155" max="6155" width="16.44140625" style="1076" customWidth="1"/>
    <col min="6156" max="6156" width="9.109375" style="1076" customWidth="1"/>
    <col min="6157" max="6400" width="9.109375" style="1076"/>
    <col min="6401" max="6401" width="16.6640625" style="1076" customWidth="1"/>
    <col min="6402" max="6402" width="46.33203125" style="1076" customWidth="1"/>
    <col min="6403" max="6403" width="18.44140625" style="1076" customWidth="1"/>
    <col min="6404" max="6404" width="18.33203125" style="1076" customWidth="1"/>
    <col min="6405" max="6405" width="19.88671875" style="1076" customWidth="1"/>
    <col min="6406" max="6406" width="21.6640625" style="1076" customWidth="1"/>
    <col min="6407" max="6407" width="9.109375" style="1076" customWidth="1"/>
    <col min="6408" max="6408" width="26.6640625" style="1076" customWidth="1"/>
    <col min="6409" max="6409" width="21.44140625" style="1076" customWidth="1"/>
    <col min="6410" max="6410" width="9.109375" style="1076" customWidth="1"/>
    <col min="6411" max="6411" width="16.44140625" style="1076" customWidth="1"/>
    <col min="6412" max="6412" width="9.109375" style="1076" customWidth="1"/>
    <col min="6413" max="6656" width="9.109375" style="1076"/>
    <col min="6657" max="6657" width="16.6640625" style="1076" customWidth="1"/>
    <col min="6658" max="6658" width="46.33203125" style="1076" customWidth="1"/>
    <col min="6659" max="6659" width="18.44140625" style="1076" customWidth="1"/>
    <col min="6660" max="6660" width="18.33203125" style="1076" customWidth="1"/>
    <col min="6661" max="6661" width="19.88671875" style="1076" customWidth="1"/>
    <col min="6662" max="6662" width="21.6640625" style="1076" customWidth="1"/>
    <col min="6663" max="6663" width="9.109375" style="1076" customWidth="1"/>
    <col min="6664" max="6664" width="26.6640625" style="1076" customWidth="1"/>
    <col min="6665" max="6665" width="21.44140625" style="1076" customWidth="1"/>
    <col min="6666" max="6666" width="9.109375" style="1076" customWidth="1"/>
    <col min="6667" max="6667" width="16.44140625" style="1076" customWidth="1"/>
    <col min="6668" max="6668" width="9.109375" style="1076" customWidth="1"/>
    <col min="6669" max="6912" width="9.109375" style="1076"/>
    <col min="6913" max="6913" width="16.6640625" style="1076" customWidth="1"/>
    <col min="6914" max="6914" width="46.33203125" style="1076" customWidth="1"/>
    <col min="6915" max="6915" width="18.44140625" style="1076" customWidth="1"/>
    <col min="6916" max="6916" width="18.33203125" style="1076" customWidth="1"/>
    <col min="6917" max="6917" width="19.88671875" style="1076" customWidth="1"/>
    <col min="6918" max="6918" width="21.6640625" style="1076" customWidth="1"/>
    <col min="6919" max="6919" width="9.109375" style="1076" customWidth="1"/>
    <col min="6920" max="6920" width="26.6640625" style="1076" customWidth="1"/>
    <col min="6921" max="6921" width="21.44140625" style="1076" customWidth="1"/>
    <col min="6922" max="6922" width="9.109375" style="1076" customWidth="1"/>
    <col min="6923" max="6923" width="16.44140625" style="1076" customWidth="1"/>
    <col min="6924" max="6924" width="9.109375" style="1076" customWidth="1"/>
    <col min="6925" max="7168" width="9.109375" style="1076"/>
    <col min="7169" max="7169" width="16.6640625" style="1076" customWidth="1"/>
    <col min="7170" max="7170" width="46.33203125" style="1076" customWidth="1"/>
    <col min="7171" max="7171" width="18.44140625" style="1076" customWidth="1"/>
    <col min="7172" max="7172" width="18.33203125" style="1076" customWidth="1"/>
    <col min="7173" max="7173" width="19.88671875" style="1076" customWidth="1"/>
    <col min="7174" max="7174" width="21.6640625" style="1076" customWidth="1"/>
    <col min="7175" max="7175" width="9.109375" style="1076" customWidth="1"/>
    <col min="7176" max="7176" width="26.6640625" style="1076" customWidth="1"/>
    <col min="7177" max="7177" width="21.44140625" style="1076" customWidth="1"/>
    <col min="7178" max="7178" width="9.109375" style="1076" customWidth="1"/>
    <col min="7179" max="7179" width="16.44140625" style="1076" customWidth="1"/>
    <col min="7180" max="7180" width="9.109375" style="1076" customWidth="1"/>
    <col min="7181" max="7424" width="9.109375" style="1076"/>
    <col min="7425" max="7425" width="16.6640625" style="1076" customWidth="1"/>
    <col min="7426" max="7426" width="46.33203125" style="1076" customWidth="1"/>
    <col min="7427" max="7427" width="18.44140625" style="1076" customWidth="1"/>
    <col min="7428" max="7428" width="18.33203125" style="1076" customWidth="1"/>
    <col min="7429" max="7429" width="19.88671875" style="1076" customWidth="1"/>
    <col min="7430" max="7430" width="21.6640625" style="1076" customWidth="1"/>
    <col min="7431" max="7431" width="9.109375" style="1076" customWidth="1"/>
    <col min="7432" max="7432" width="26.6640625" style="1076" customWidth="1"/>
    <col min="7433" max="7433" width="21.44140625" style="1076" customWidth="1"/>
    <col min="7434" max="7434" width="9.109375" style="1076" customWidth="1"/>
    <col min="7435" max="7435" width="16.44140625" style="1076" customWidth="1"/>
    <col min="7436" max="7436" width="9.109375" style="1076" customWidth="1"/>
    <col min="7437" max="7680" width="9.109375" style="1076"/>
    <col min="7681" max="7681" width="16.6640625" style="1076" customWidth="1"/>
    <col min="7682" max="7682" width="46.33203125" style="1076" customWidth="1"/>
    <col min="7683" max="7683" width="18.44140625" style="1076" customWidth="1"/>
    <col min="7684" max="7684" width="18.33203125" style="1076" customWidth="1"/>
    <col min="7685" max="7685" width="19.88671875" style="1076" customWidth="1"/>
    <col min="7686" max="7686" width="21.6640625" style="1076" customWidth="1"/>
    <col min="7687" max="7687" width="9.109375" style="1076" customWidth="1"/>
    <col min="7688" max="7688" width="26.6640625" style="1076" customWidth="1"/>
    <col min="7689" max="7689" width="21.44140625" style="1076" customWidth="1"/>
    <col min="7690" max="7690" width="9.109375" style="1076" customWidth="1"/>
    <col min="7691" max="7691" width="16.44140625" style="1076" customWidth="1"/>
    <col min="7692" max="7692" width="9.109375" style="1076" customWidth="1"/>
    <col min="7693" max="7936" width="9.109375" style="1076"/>
    <col min="7937" max="7937" width="16.6640625" style="1076" customWidth="1"/>
    <col min="7938" max="7938" width="46.33203125" style="1076" customWidth="1"/>
    <col min="7939" max="7939" width="18.44140625" style="1076" customWidth="1"/>
    <col min="7940" max="7940" width="18.33203125" style="1076" customWidth="1"/>
    <col min="7941" max="7941" width="19.88671875" style="1076" customWidth="1"/>
    <col min="7942" max="7942" width="21.6640625" style="1076" customWidth="1"/>
    <col min="7943" max="7943" width="9.109375" style="1076" customWidth="1"/>
    <col min="7944" max="7944" width="26.6640625" style="1076" customWidth="1"/>
    <col min="7945" max="7945" width="21.44140625" style="1076" customWidth="1"/>
    <col min="7946" max="7946" width="9.109375" style="1076" customWidth="1"/>
    <col min="7947" max="7947" width="16.44140625" style="1076" customWidth="1"/>
    <col min="7948" max="7948" width="9.109375" style="1076" customWidth="1"/>
    <col min="7949" max="8192" width="9.109375" style="1076"/>
    <col min="8193" max="8193" width="16.6640625" style="1076" customWidth="1"/>
    <col min="8194" max="8194" width="46.33203125" style="1076" customWidth="1"/>
    <col min="8195" max="8195" width="18.44140625" style="1076" customWidth="1"/>
    <col min="8196" max="8196" width="18.33203125" style="1076" customWidth="1"/>
    <col min="8197" max="8197" width="19.88671875" style="1076" customWidth="1"/>
    <col min="8198" max="8198" width="21.6640625" style="1076" customWidth="1"/>
    <col min="8199" max="8199" width="9.109375" style="1076" customWidth="1"/>
    <col min="8200" max="8200" width="26.6640625" style="1076" customWidth="1"/>
    <col min="8201" max="8201" width="21.44140625" style="1076" customWidth="1"/>
    <col min="8202" max="8202" width="9.109375" style="1076" customWidth="1"/>
    <col min="8203" max="8203" width="16.44140625" style="1076" customWidth="1"/>
    <col min="8204" max="8204" width="9.109375" style="1076" customWidth="1"/>
    <col min="8205" max="8448" width="9.109375" style="1076"/>
    <col min="8449" max="8449" width="16.6640625" style="1076" customWidth="1"/>
    <col min="8450" max="8450" width="46.33203125" style="1076" customWidth="1"/>
    <col min="8451" max="8451" width="18.44140625" style="1076" customWidth="1"/>
    <col min="8452" max="8452" width="18.33203125" style="1076" customWidth="1"/>
    <col min="8453" max="8453" width="19.88671875" style="1076" customWidth="1"/>
    <col min="8454" max="8454" width="21.6640625" style="1076" customWidth="1"/>
    <col min="8455" max="8455" width="9.109375" style="1076" customWidth="1"/>
    <col min="8456" max="8456" width="26.6640625" style="1076" customWidth="1"/>
    <col min="8457" max="8457" width="21.44140625" style="1076" customWidth="1"/>
    <col min="8458" max="8458" width="9.109375" style="1076" customWidth="1"/>
    <col min="8459" max="8459" width="16.44140625" style="1076" customWidth="1"/>
    <col min="8460" max="8460" width="9.109375" style="1076" customWidth="1"/>
    <col min="8461" max="8704" width="9.109375" style="1076"/>
    <col min="8705" max="8705" width="16.6640625" style="1076" customWidth="1"/>
    <col min="8706" max="8706" width="46.33203125" style="1076" customWidth="1"/>
    <col min="8707" max="8707" width="18.44140625" style="1076" customWidth="1"/>
    <col min="8708" max="8708" width="18.33203125" style="1076" customWidth="1"/>
    <col min="8709" max="8709" width="19.88671875" style="1076" customWidth="1"/>
    <col min="8710" max="8710" width="21.6640625" style="1076" customWidth="1"/>
    <col min="8711" max="8711" width="9.109375" style="1076" customWidth="1"/>
    <col min="8712" max="8712" width="26.6640625" style="1076" customWidth="1"/>
    <col min="8713" max="8713" width="21.44140625" style="1076" customWidth="1"/>
    <col min="8714" max="8714" width="9.109375" style="1076" customWidth="1"/>
    <col min="8715" max="8715" width="16.44140625" style="1076" customWidth="1"/>
    <col min="8716" max="8716" width="9.109375" style="1076" customWidth="1"/>
    <col min="8717" max="8960" width="9.109375" style="1076"/>
    <col min="8961" max="8961" width="16.6640625" style="1076" customWidth="1"/>
    <col min="8962" max="8962" width="46.33203125" style="1076" customWidth="1"/>
    <col min="8963" max="8963" width="18.44140625" style="1076" customWidth="1"/>
    <col min="8964" max="8964" width="18.33203125" style="1076" customWidth="1"/>
    <col min="8965" max="8965" width="19.88671875" style="1076" customWidth="1"/>
    <col min="8966" max="8966" width="21.6640625" style="1076" customWidth="1"/>
    <col min="8967" max="8967" width="9.109375" style="1076" customWidth="1"/>
    <col min="8968" max="8968" width="26.6640625" style="1076" customWidth="1"/>
    <col min="8969" max="8969" width="21.44140625" style="1076" customWidth="1"/>
    <col min="8970" max="8970" width="9.109375" style="1076" customWidth="1"/>
    <col min="8971" max="8971" width="16.44140625" style="1076" customWidth="1"/>
    <col min="8972" max="8972" width="9.109375" style="1076" customWidth="1"/>
    <col min="8973" max="9216" width="9.109375" style="1076"/>
    <col min="9217" max="9217" width="16.6640625" style="1076" customWidth="1"/>
    <col min="9218" max="9218" width="46.33203125" style="1076" customWidth="1"/>
    <col min="9219" max="9219" width="18.44140625" style="1076" customWidth="1"/>
    <col min="9220" max="9220" width="18.33203125" style="1076" customWidth="1"/>
    <col min="9221" max="9221" width="19.88671875" style="1076" customWidth="1"/>
    <col min="9222" max="9222" width="21.6640625" style="1076" customWidth="1"/>
    <col min="9223" max="9223" width="9.109375" style="1076" customWidth="1"/>
    <col min="9224" max="9224" width="26.6640625" style="1076" customWidth="1"/>
    <col min="9225" max="9225" width="21.44140625" style="1076" customWidth="1"/>
    <col min="9226" max="9226" width="9.109375" style="1076" customWidth="1"/>
    <col min="9227" max="9227" width="16.44140625" style="1076" customWidth="1"/>
    <col min="9228" max="9228" width="9.109375" style="1076" customWidth="1"/>
    <col min="9229" max="9472" width="9.109375" style="1076"/>
    <col min="9473" max="9473" width="16.6640625" style="1076" customWidth="1"/>
    <col min="9474" max="9474" width="46.33203125" style="1076" customWidth="1"/>
    <col min="9475" max="9475" width="18.44140625" style="1076" customWidth="1"/>
    <col min="9476" max="9476" width="18.33203125" style="1076" customWidth="1"/>
    <col min="9477" max="9477" width="19.88671875" style="1076" customWidth="1"/>
    <col min="9478" max="9478" width="21.6640625" style="1076" customWidth="1"/>
    <col min="9479" max="9479" width="9.109375" style="1076" customWidth="1"/>
    <col min="9480" max="9480" width="26.6640625" style="1076" customWidth="1"/>
    <col min="9481" max="9481" width="21.44140625" style="1076" customWidth="1"/>
    <col min="9482" max="9482" width="9.109375" style="1076" customWidth="1"/>
    <col min="9483" max="9483" width="16.44140625" style="1076" customWidth="1"/>
    <col min="9484" max="9484" width="9.109375" style="1076" customWidth="1"/>
    <col min="9485" max="9728" width="9.109375" style="1076"/>
    <col min="9729" max="9729" width="16.6640625" style="1076" customWidth="1"/>
    <col min="9730" max="9730" width="46.33203125" style="1076" customWidth="1"/>
    <col min="9731" max="9731" width="18.44140625" style="1076" customWidth="1"/>
    <col min="9732" max="9732" width="18.33203125" style="1076" customWidth="1"/>
    <col min="9733" max="9733" width="19.88671875" style="1076" customWidth="1"/>
    <col min="9734" max="9734" width="21.6640625" style="1076" customWidth="1"/>
    <col min="9735" max="9735" width="9.109375" style="1076" customWidth="1"/>
    <col min="9736" max="9736" width="26.6640625" style="1076" customWidth="1"/>
    <col min="9737" max="9737" width="21.44140625" style="1076" customWidth="1"/>
    <col min="9738" max="9738" width="9.109375" style="1076" customWidth="1"/>
    <col min="9739" max="9739" width="16.44140625" style="1076" customWidth="1"/>
    <col min="9740" max="9740" width="9.109375" style="1076" customWidth="1"/>
    <col min="9741" max="9984" width="9.109375" style="1076"/>
    <col min="9985" max="9985" width="16.6640625" style="1076" customWidth="1"/>
    <col min="9986" max="9986" width="46.33203125" style="1076" customWidth="1"/>
    <col min="9987" max="9987" width="18.44140625" style="1076" customWidth="1"/>
    <col min="9988" max="9988" width="18.33203125" style="1076" customWidth="1"/>
    <col min="9989" max="9989" width="19.88671875" style="1076" customWidth="1"/>
    <col min="9990" max="9990" width="21.6640625" style="1076" customWidth="1"/>
    <col min="9991" max="9991" width="9.109375" style="1076" customWidth="1"/>
    <col min="9992" max="9992" width="26.6640625" style="1076" customWidth="1"/>
    <col min="9993" max="9993" width="21.44140625" style="1076" customWidth="1"/>
    <col min="9994" max="9994" width="9.109375" style="1076" customWidth="1"/>
    <col min="9995" max="9995" width="16.44140625" style="1076" customWidth="1"/>
    <col min="9996" max="9996" width="9.109375" style="1076" customWidth="1"/>
    <col min="9997" max="10240" width="9.109375" style="1076"/>
    <col min="10241" max="10241" width="16.6640625" style="1076" customWidth="1"/>
    <col min="10242" max="10242" width="46.33203125" style="1076" customWidth="1"/>
    <col min="10243" max="10243" width="18.44140625" style="1076" customWidth="1"/>
    <col min="10244" max="10244" width="18.33203125" style="1076" customWidth="1"/>
    <col min="10245" max="10245" width="19.88671875" style="1076" customWidth="1"/>
    <col min="10246" max="10246" width="21.6640625" style="1076" customWidth="1"/>
    <col min="10247" max="10247" width="9.109375" style="1076" customWidth="1"/>
    <col min="10248" max="10248" width="26.6640625" style="1076" customWidth="1"/>
    <col min="10249" max="10249" width="21.44140625" style="1076" customWidth="1"/>
    <col min="10250" max="10250" width="9.109375" style="1076" customWidth="1"/>
    <col min="10251" max="10251" width="16.44140625" style="1076" customWidth="1"/>
    <col min="10252" max="10252" width="9.109375" style="1076" customWidth="1"/>
    <col min="10253" max="10496" width="9.109375" style="1076"/>
    <col min="10497" max="10497" width="16.6640625" style="1076" customWidth="1"/>
    <col min="10498" max="10498" width="46.33203125" style="1076" customWidth="1"/>
    <col min="10499" max="10499" width="18.44140625" style="1076" customWidth="1"/>
    <col min="10500" max="10500" width="18.33203125" style="1076" customWidth="1"/>
    <col min="10501" max="10501" width="19.88671875" style="1076" customWidth="1"/>
    <col min="10502" max="10502" width="21.6640625" style="1076" customWidth="1"/>
    <col min="10503" max="10503" width="9.109375" style="1076" customWidth="1"/>
    <col min="10504" max="10504" width="26.6640625" style="1076" customWidth="1"/>
    <col min="10505" max="10505" width="21.44140625" style="1076" customWidth="1"/>
    <col min="10506" max="10506" width="9.109375" style="1076" customWidth="1"/>
    <col min="10507" max="10507" width="16.44140625" style="1076" customWidth="1"/>
    <col min="10508" max="10508" width="9.109375" style="1076" customWidth="1"/>
    <col min="10509" max="10752" width="9.109375" style="1076"/>
    <col min="10753" max="10753" width="16.6640625" style="1076" customWidth="1"/>
    <col min="10754" max="10754" width="46.33203125" style="1076" customWidth="1"/>
    <col min="10755" max="10755" width="18.44140625" style="1076" customWidth="1"/>
    <col min="10756" max="10756" width="18.33203125" style="1076" customWidth="1"/>
    <col min="10757" max="10757" width="19.88671875" style="1076" customWidth="1"/>
    <col min="10758" max="10758" width="21.6640625" style="1076" customWidth="1"/>
    <col min="10759" max="10759" width="9.109375" style="1076" customWidth="1"/>
    <col min="10760" max="10760" width="26.6640625" style="1076" customWidth="1"/>
    <col min="10761" max="10761" width="21.44140625" style="1076" customWidth="1"/>
    <col min="10762" max="10762" width="9.109375" style="1076" customWidth="1"/>
    <col min="10763" max="10763" width="16.44140625" style="1076" customWidth="1"/>
    <col min="10764" max="10764" width="9.109375" style="1076" customWidth="1"/>
    <col min="10765" max="11008" width="9.109375" style="1076"/>
    <col min="11009" max="11009" width="16.6640625" style="1076" customWidth="1"/>
    <col min="11010" max="11010" width="46.33203125" style="1076" customWidth="1"/>
    <col min="11011" max="11011" width="18.44140625" style="1076" customWidth="1"/>
    <col min="11012" max="11012" width="18.33203125" style="1076" customWidth="1"/>
    <col min="11013" max="11013" width="19.88671875" style="1076" customWidth="1"/>
    <col min="11014" max="11014" width="21.6640625" style="1076" customWidth="1"/>
    <col min="11015" max="11015" width="9.109375" style="1076" customWidth="1"/>
    <col min="11016" max="11016" width="26.6640625" style="1076" customWidth="1"/>
    <col min="11017" max="11017" width="21.44140625" style="1076" customWidth="1"/>
    <col min="11018" max="11018" width="9.109375" style="1076" customWidth="1"/>
    <col min="11019" max="11019" width="16.44140625" style="1076" customWidth="1"/>
    <col min="11020" max="11020" width="9.109375" style="1076" customWidth="1"/>
    <col min="11021" max="11264" width="9.109375" style="1076"/>
    <col min="11265" max="11265" width="16.6640625" style="1076" customWidth="1"/>
    <col min="11266" max="11266" width="46.33203125" style="1076" customWidth="1"/>
    <col min="11267" max="11267" width="18.44140625" style="1076" customWidth="1"/>
    <col min="11268" max="11268" width="18.33203125" style="1076" customWidth="1"/>
    <col min="11269" max="11269" width="19.88671875" style="1076" customWidth="1"/>
    <col min="11270" max="11270" width="21.6640625" style="1076" customWidth="1"/>
    <col min="11271" max="11271" width="9.109375" style="1076" customWidth="1"/>
    <col min="11272" max="11272" width="26.6640625" style="1076" customWidth="1"/>
    <col min="11273" max="11273" width="21.44140625" style="1076" customWidth="1"/>
    <col min="11274" max="11274" width="9.109375" style="1076" customWidth="1"/>
    <col min="11275" max="11275" width="16.44140625" style="1076" customWidth="1"/>
    <col min="11276" max="11276" width="9.109375" style="1076" customWidth="1"/>
    <col min="11277" max="11520" width="9.109375" style="1076"/>
    <col min="11521" max="11521" width="16.6640625" style="1076" customWidth="1"/>
    <col min="11522" max="11522" width="46.33203125" style="1076" customWidth="1"/>
    <col min="11523" max="11523" width="18.44140625" style="1076" customWidth="1"/>
    <col min="11524" max="11524" width="18.33203125" style="1076" customWidth="1"/>
    <col min="11525" max="11525" width="19.88671875" style="1076" customWidth="1"/>
    <col min="11526" max="11526" width="21.6640625" style="1076" customWidth="1"/>
    <col min="11527" max="11527" width="9.109375" style="1076" customWidth="1"/>
    <col min="11528" max="11528" width="26.6640625" style="1076" customWidth="1"/>
    <col min="11529" max="11529" width="21.44140625" style="1076" customWidth="1"/>
    <col min="11530" max="11530" width="9.109375" style="1076" customWidth="1"/>
    <col min="11531" max="11531" width="16.44140625" style="1076" customWidth="1"/>
    <col min="11532" max="11532" width="9.109375" style="1076" customWidth="1"/>
    <col min="11533" max="11776" width="9.109375" style="1076"/>
    <col min="11777" max="11777" width="16.6640625" style="1076" customWidth="1"/>
    <col min="11778" max="11778" width="46.33203125" style="1076" customWidth="1"/>
    <col min="11779" max="11779" width="18.44140625" style="1076" customWidth="1"/>
    <col min="11780" max="11780" width="18.33203125" style="1076" customWidth="1"/>
    <col min="11781" max="11781" width="19.88671875" style="1076" customWidth="1"/>
    <col min="11782" max="11782" width="21.6640625" style="1076" customWidth="1"/>
    <col min="11783" max="11783" width="9.109375" style="1076" customWidth="1"/>
    <col min="11784" max="11784" width="26.6640625" style="1076" customWidth="1"/>
    <col min="11785" max="11785" width="21.44140625" style="1076" customWidth="1"/>
    <col min="11786" max="11786" width="9.109375" style="1076" customWidth="1"/>
    <col min="11787" max="11787" width="16.44140625" style="1076" customWidth="1"/>
    <col min="11788" max="11788" width="9.109375" style="1076" customWidth="1"/>
    <col min="11789" max="12032" width="9.109375" style="1076"/>
    <col min="12033" max="12033" width="16.6640625" style="1076" customWidth="1"/>
    <col min="12034" max="12034" width="46.33203125" style="1076" customWidth="1"/>
    <col min="12035" max="12035" width="18.44140625" style="1076" customWidth="1"/>
    <col min="12036" max="12036" width="18.33203125" style="1076" customWidth="1"/>
    <col min="12037" max="12037" width="19.88671875" style="1076" customWidth="1"/>
    <col min="12038" max="12038" width="21.6640625" style="1076" customWidth="1"/>
    <col min="12039" max="12039" width="9.109375" style="1076" customWidth="1"/>
    <col min="12040" max="12040" width="26.6640625" style="1076" customWidth="1"/>
    <col min="12041" max="12041" width="21.44140625" style="1076" customWidth="1"/>
    <col min="12042" max="12042" width="9.109375" style="1076" customWidth="1"/>
    <col min="12043" max="12043" width="16.44140625" style="1076" customWidth="1"/>
    <col min="12044" max="12044" width="9.109375" style="1076" customWidth="1"/>
    <col min="12045" max="12288" width="9.109375" style="1076"/>
    <col min="12289" max="12289" width="16.6640625" style="1076" customWidth="1"/>
    <col min="12290" max="12290" width="46.33203125" style="1076" customWidth="1"/>
    <col min="12291" max="12291" width="18.44140625" style="1076" customWidth="1"/>
    <col min="12292" max="12292" width="18.33203125" style="1076" customWidth="1"/>
    <col min="12293" max="12293" width="19.88671875" style="1076" customWidth="1"/>
    <col min="12294" max="12294" width="21.6640625" style="1076" customWidth="1"/>
    <col min="12295" max="12295" width="9.109375" style="1076" customWidth="1"/>
    <col min="12296" max="12296" width="26.6640625" style="1076" customWidth="1"/>
    <col min="12297" max="12297" width="21.44140625" style="1076" customWidth="1"/>
    <col min="12298" max="12298" width="9.109375" style="1076" customWidth="1"/>
    <col min="12299" max="12299" width="16.44140625" style="1076" customWidth="1"/>
    <col min="12300" max="12300" width="9.109375" style="1076" customWidth="1"/>
    <col min="12301" max="12544" width="9.109375" style="1076"/>
    <col min="12545" max="12545" width="16.6640625" style="1076" customWidth="1"/>
    <col min="12546" max="12546" width="46.33203125" style="1076" customWidth="1"/>
    <col min="12547" max="12547" width="18.44140625" style="1076" customWidth="1"/>
    <col min="12548" max="12548" width="18.33203125" style="1076" customWidth="1"/>
    <col min="12549" max="12549" width="19.88671875" style="1076" customWidth="1"/>
    <col min="12550" max="12550" width="21.6640625" style="1076" customWidth="1"/>
    <col min="12551" max="12551" width="9.109375" style="1076" customWidth="1"/>
    <col min="12552" max="12552" width="26.6640625" style="1076" customWidth="1"/>
    <col min="12553" max="12553" width="21.44140625" style="1076" customWidth="1"/>
    <col min="12554" max="12554" width="9.109375" style="1076" customWidth="1"/>
    <col min="12555" max="12555" width="16.44140625" style="1076" customWidth="1"/>
    <col min="12556" max="12556" width="9.109375" style="1076" customWidth="1"/>
    <col min="12557" max="12800" width="9.109375" style="1076"/>
    <col min="12801" max="12801" width="16.6640625" style="1076" customWidth="1"/>
    <col min="12802" max="12802" width="46.33203125" style="1076" customWidth="1"/>
    <col min="12803" max="12803" width="18.44140625" style="1076" customWidth="1"/>
    <col min="12804" max="12804" width="18.33203125" style="1076" customWidth="1"/>
    <col min="12805" max="12805" width="19.88671875" style="1076" customWidth="1"/>
    <col min="12806" max="12806" width="21.6640625" style="1076" customWidth="1"/>
    <col min="12807" max="12807" width="9.109375" style="1076" customWidth="1"/>
    <col min="12808" max="12808" width="26.6640625" style="1076" customWidth="1"/>
    <col min="12809" max="12809" width="21.44140625" style="1076" customWidth="1"/>
    <col min="12810" max="12810" width="9.109375" style="1076" customWidth="1"/>
    <col min="12811" max="12811" width="16.44140625" style="1076" customWidth="1"/>
    <col min="12812" max="12812" width="9.109375" style="1076" customWidth="1"/>
    <col min="12813" max="13056" width="9.109375" style="1076"/>
    <col min="13057" max="13057" width="16.6640625" style="1076" customWidth="1"/>
    <col min="13058" max="13058" width="46.33203125" style="1076" customWidth="1"/>
    <col min="13059" max="13059" width="18.44140625" style="1076" customWidth="1"/>
    <col min="13060" max="13060" width="18.33203125" style="1076" customWidth="1"/>
    <col min="13061" max="13061" width="19.88671875" style="1076" customWidth="1"/>
    <col min="13062" max="13062" width="21.6640625" style="1076" customWidth="1"/>
    <col min="13063" max="13063" width="9.109375" style="1076" customWidth="1"/>
    <col min="13064" max="13064" width="26.6640625" style="1076" customWidth="1"/>
    <col min="13065" max="13065" width="21.44140625" style="1076" customWidth="1"/>
    <col min="13066" max="13066" width="9.109375" style="1076" customWidth="1"/>
    <col min="13067" max="13067" width="16.44140625" style="1076" customWidth="1"/>
    <col min="13068" max="13068" width="9.109375" style="1076" customWidth="1"/>
    <col min="13069" max="13312" width="9.109375" style="1076"/>
    <col min="13313" max="13313" width="16.6640625" style="1076" customWidth="1"/>
    <col min="13314" max="13314" width="46.33203125" style="1076" customWidth="1"/>
    <col min="13315" max="13315" width="18.44140625" style="1076" customWidth="1"/>
    <col min="13316" max="13316" width="18.33203125" style="1076" customWidth="1"/>
    <col min="13317" max="13317" width="19.88671875" style="1076" customWidth="1"/>
    <col min="13318" max="13318" width="21.6640625" style="1076" customWidth="1"/>
    <col min="13319" max="13319" width="9.109375" style="1076" customWidth="1"/>
    <col min="13320" max="13320" width="26.6640625" style="1076" customWidth="1"/>
    <col min="13321" max="13321" width="21.44140625" style="1076" customWidth="1"/>
    <col min="13322" max="13322" width="9.109375" style="1076" customWidth="1"/>
    <col min="13323" max="13323" width="16.44140625" style="1076" customWidth="1"/>
    <col min="13324" max="13324" width="9.109375" style="1076" customWidth="1"/>
    <col min="13325" max="13568" width="9.109375" style="1076"/>
    <col min="13569" max="13569" width="16.6640625" style="1076" customWidth="1"/>
    <col min="13570" max="13570" width="46.33203125" style="1076" customWidth="1"/>
    <col min="13571" max="13571" width="18.44140625" style="1076" customWidth="1"/>
    <col min="13572" max="13572" width="18.33203125" style="1076" customWidth="1"/>
    <col min="13573" max="13573" width="19.88671875" style="1076" customWidth="1"/>
    <col min="13574" max="13574" width="21.6640625" style="1076" customWidth="1"/>
    <col min="13575" max="13575" width="9.109375" style="1076" customWidth="1"/>
    <col min="13576" max="13576" width="26.6640625" style="1076" customWidth="1"/>
    <col min="13577" max="13577" width="21.44140625" style="1076" customWidth="1"/>
    <col min="13578" max="13578" width="9.109375" style="1076" customWidth="1"/>
    <col min="13579" max="13579" width="16.44140625" style="1076" customWidth="1"/>
    <col min="13580" max="13580" width="9.109375" style="1076" customWidth="1"/>
    <col min="13581" max="13824" width="9.109375" style="1076"/>
    <col min="13825" max="13825" width="16.6640625" style="1076" customWidth="1"/>
    <col min="13826" max="13826" width="46.33203125" style="1076" customWidth="1"/>
    <col min="13827" max="13827" width="18.44140625" style="1076" customWidth="1"/>
    <col min="13828" max="13828" width="18.33203125" style="1076" customWidth="1"/>
    <col min="13829" max="13829" width="19.88671875" style="1076" customWidth="1"/>
    <col min="13830" max="13830" width="21.6640625" style="1076" customWidth="1"/>
    <col min="13831" max="13831" width="9.109375" style="1076" customWidth="1"/>
    <col min="13832" max="13832" width="26.6640625" style="1076" customWidth="1"/>
    <col min="13833" max="13833" width="21.44140625" style="1076" customWidth="1"/>
    <col min="13834" max="13834" width="9.109375" style="1076" customWidth="1"/>
    <col min="13835" max="13835" width="16.44140625" style="1076" customWidth="1"/>
    <col min="13836" max="13836" width="9.109375" style="1076" customWidth="1"/>
    <col min="13837" max="14080" width="9.109375" style="1076"/>
    <col min="14081" max="14081" width="16.6640625" style="1076" customWidth="1"/>
    <col min="14082" max="14082" width="46.33203125" style="1076" customWidth="1"/>
    <col min="14083" max="14083" width="18.44140625" style="1076" customWidth="1"/>
    <col min="14084" max="14084" width="18.33203125" style="1076" customWidth="1"/>
    <col min="14085" max="14085" width="19.88671875" style="1076" customWidth="1"/>
    <col min="14086" max="14086" width="21.6640625" style="1076" customWidth="1"/>
    <col min="14087" max="14087" width="9.109375" style="1076" customWidth="1"/>
    <col min="14088" max="14088" width="26.6640625" style="1076" customWidth="1"/>
    <col min="14089" max="14089" width="21.44140625" style="1076" customWidth="1"/>
    <col min="14090" max="14090" width="9.109375" style="1076" customWidth="1"/>
    <col min="14091" max="14091" width="16.44140625" style="1076" customWidth="1"/>
    <col min="14092" max="14092" width="9.109375" style="1076" customWidth="1"/>
    <col min="14093" max="14336" width="9.109375" style="1076"/>
    <col min="14337" max="14337" width="16.6640625" style="1076" customWidth="1"/>
    <col min="14338" max="14338" width="46.33203125" style="1076" customWidth="1"/>
    <col min="14339" max="14339" width="18.44140625" style="1076" customWidth="1"/>
    <col min="14340" max="14340" width="18.33203125" style="1076" customWidth="1"/>
    <col min="14341" max="14341" width="19.88671875" style="1076" customWidth="1"/>
    <col min="14342" max="14342" width="21.6640625" style="1076" customWidth="1"/>
    <col min="14343" max="14343" width="9.109375" style="1076" customWidth="1"/>
    <col min="14344" max="14344" width="26.6640625" style="1076" customWidth="1"/>
    <col min="14345" max="14345" width="21.44140625" style="1076" customWidth="1"/>
    <col min="14346" max="14346" width="9.109375" style="1076" customWidth="1"/>
    <col min="14347" max="14347" width="16.44140625" style="1076" customWidth="1"/>
    <col min="14348" max="14348" width="9.109375" style="1076" customWidth="1"/>
    <col min="14349" max="14592" width="9.109375" style="1076"/>
    <col min="14593" max="14593" width="16.6640625" style="1076" customWidth="1"/>
    <col min="14594" max="14594" width="46.33203125" style="1076" customWidth="1"/>
    <col min="14595" max="14595" width="18.44140625" style="1076" customWidth="1"/>
    <col min="14596" max="14596" width="18.33203125" style="1076" customWidth="1"/>
    <col min="14597" max="14597" width="19.88671875" style="1076" customWidth="1"/>
    <col min="14598" max="14598" width="21.6640625" style="1076" customWidth="1"/>
    <col min="14599" max="14599" width="9.109375" style="1076" customWidth="1"/>
    <col min="14600" max="14600" width="26.6640625" style="1076" customWidth="1"/>
    <col min="14601" max="14601" width="21.44140625" style="1076" customWidth="1"/>
    <col min="14602" max="14602" width="9.109375" style="1076" customWidth="1"/>
    <col min="14603" max="14603" width="16.44140625" style="1076" customWidth="1"/>
    <col min="14604" max="14604" width="9.109375" style="1076" customWidth="1"/>
    <col min="14605" max="14848" width="9.109375" style="1076"/>
    <col min="14849" max="14849" width="16.6640625" style="1076" customWidth="1"/>
    <col min="14850" max="14850" width="46.33203125" style="1076" customWidth="1"/>
    <col min="14851" max="14851" width="18.44140625" style="1076" customWidth="1"/>
    <col min="14852" max="14852" width="18.33203125" style="1076" customWidth="1"/>
    <col min="14853" max="14853" width="19.88671875" style="1076" customWidth="1"/>
    <col min="14854" max="14854" width="21.6640625" style="1076" customWidth="1"/>
    <col min="14855" max="14855" width="9.109375" style="1076" customWidth="1"/>
    <col min="14856" max="14856" width="26.6640625" style="1076" customWidth="1"/>
    <col min="14857" max="14857" width="21.44140625" style="1076" customWidth="1"/>
    <col min="14858" max="14858" width="9.109375" style="1076" customWidth="1"/>
    <col min="14859" max="14859" width="16.44140625" style="1076" customWidth="1"/>
    <col min="14860" max="14860" width="9.109375" style="1076" customWidth="1"/>
    <col min="14861" max="15104" width="9.109375" style="1076"/>
    <col min="15105" max="15105" width="16.6640625" style="1076" customWidth="1"/>
    <col min="15106" max="15106" width="46.33203125" style="1076" customWidth="1"/>
    <col min="15107" max="15107" width="18.44140625" style="1076" customWidth="1"/>
    <col min="15108" max="15108" width="18.33203125" style="1076" customWidth="1"/>
    <col min="15109" max="15109" width="19.88671875" style="1076" customWidth="1"/>
    <col min="15110" max="15110" width="21.6640625" style="1076" customWidth="1"/>
    <col min="15111" max="15111" width="9.109375" style="1076" customWidth="1"/>
    <col min="15112" max="15112" width="26.6640625" style="1076" customWidth="1"/>
    <col min="15113" max="15113" width="21.44140625" style="1076" customWidth="1"/>
    <col min="15114" max="15114" width="9.109375" style="1076" customWidth="1"/>
    <col min="15115" max="15115" width="16.44140625" style="1076" customWidth="1"/>
    <col min="15116" max="15116" width="9.109375" style="1076" customWidth="1"/>
    <col min="15117" max="15360" width="9.109375" style="1076"/>
    <col min="15361" max="15361" width="16.6640625" style="1076" customWidth="1"/>
    <col min="15362" max="15362" width="46.33203125" style="1076" customWidth="1"/>
    <col min="15363" max="15363" width="18.44140625" style="1076" customWidth="1"/>
    <col min="15364" max="15364" width="18.33203125" style="1076" customWidth="1"/>
    <col min="15365" max="15365" width="19.88671875" style="1076" customWidth="1"/>
    <col min="15366" max="15366" width="21.6640625" style="1076" customWidth="1"/>
    <col min="15367" max="15367" width="9.109375" style="1076" customWidth="1"/>
    <col min="15368" max="15368" width="26.6640625" style="1076" customWidth="1"/>
    <col min="15369" max="15369" width="21.44140625" style="1076" customWidth="1"/>
    <col min="15370" max="15370" width="9.109375" style="1076" customWidth="1"/>
    <col min="15371" max="15371" width="16.44140625" style="1076" customWidth="1"/>
    <col min="15372" max="15372" width="9.109375" style="1076" customWidth="1"/>
    <col min="15373" max="15616" width="9.109375" style="1076"/>
    <col min="15617" max="15617" width="16.6640625" style="1076" customWidth="1"/>
    <col min="15618" max="15618" width="46.33203125" style="1076" customWidth="1"/>
    <col min="15619" max="15619" width="18.44140625" style="1076" customWidth="1"/>
    <col min="15620" max="15620" width="18.33203125" style="1076" customWidth="1"/>
    <col min="15621" max="15621" width="19.88671875" style="1076" customWidth="1"/>
    <col min="15622" max="15622" width="21.6640625" style="1076" customWidth="1"/>
    <col min="15623" max="15623" width="9.109375" style="1076" customWidth="1"/>
    <col min="15624" max="15624" width="26.6640625" style="1076" customWidth="1"/>
    <col min="15625" max="15625" width="21.44140625" style="1076" customWidth="1"/>
    <col min="15626" max="15626" width="9.109375" style="1076" customWidth="1"/>
    <col min="15627" max="15627" width="16.44140625" style="1076" customWidth="1"/>
    <col min="15628" max="15628" width="9.109375" style="1076" customWidth="1"/>
    <col min="15629" max="15872" width="9.109375" style="1076"/>
    <col min="15873" max="15873" width="16.6640625" style="1076" customWidth="1"/>
    <col min="15874" max="15874" width="46.33203125" style="1076" customWidth="1"/>
    <col min="15875" max="15875" width="18.44140625" style="1076" customWidth="1"/>
    <col min="15876" max="15876" width="18.33203125" style="1076" customWidth="1"/>
    <col min="15877" max="15877" width="19.88671875" style="1076" customWidth="1"/>
    <col min="15878" max="15878" width="21.6640625" style="1076" customWidth="1"/>
    <col min="15879" max="15879" width="9.109375" style="1076" customWidth="1"/>
    <col min="15880" max="15880" width="26.6640625" style="1076" customWidth="1"/>
    <col min="15881" max="15881" width="21.44140625" style="1076" customWidth="1"/>
    <col min="15882" max="15882" width="9.109375" style="1076" customWidth="1"/>
    <col min="15883" max="15883" width="16.44140625" style="1076" customWidth="1"/>
    <col min="15884" max="15884" width="9.109375" style="1076" customWidth="1"/>
    <col min="15885" max="16128" width="9.109375" style="1076"/>
    <col min="16129" max="16129" width="16.6640625" style="1076" customWidth="1"/>
    <col min="16130" max="16130" width="46.33203125" style="1076" customWidth="1"/>
    <col min="16131" max="16131" width="18.44140625" style="1076" customWidth="1"/>
    <col min="16132" max="16132" width="18.33203125" style="1076" customWidth="1"/>
    <col min="16133" max="16133" width="19.88671875" style="1076" customWidth="1"/>
    <col min="16134" max="16134" width="21.6640625" style="1076" customWidth="1"/>
    <col min="16135" max="16135" width="9.109375" style="1076" customWidth="1"/>
    <col min="16136" max="16136" width="26.6640625" style="1076" customWidth="1"/>
    <col min="16137" max="16137" width="21.44140625" style="1076" customWidth="1"/>
    <col min="16138" max="16138" width="9.109375" style="1076" customWidth="1"/>
    <col min="16139" max="16139" width="16.44140625" style="1076" customWidth="1"/>
    <col min="16140" max="16140" width="9.109375" style="1076" customWidth="1"/>
    <col min="16141" max="16384" width="9.109375" style="1076"/>
  </cols>
  <sheetData>
    <row r="1" spans="1:13" ht="87" customHeight="1" x14ac:dyDescent="0.25">
      <c r="C1" s="1075"/>
      <c r="E1" s="1851" t="s">
        <v>828</v>
      </c>
      <c r="F1" s="1851"/>
      <c r="M1" s="1074"/>
    </row>
    <row r="2" spans="1:13" ht="41.4" customHeight="1" x14ac:dyDescent="0.25">
      <c r="A2" s="1852" t="s">
        <v>829</v>
      </c>
      <c r="B2" s="1853"/>
      <c r="C2" s="1853"/>
      <c r="D2" s="1853"/>
      <c r="E2" s="1853"/>
      <c r="F2" s="1853"/>
    </row>
    <row r="3" spans="1:13" ht="20.399999999999999" customHeight="1" x14ac:dyDescent="0.25">
      <c r="A3" s="1854">
        <v>2357600000</v>
      </c>
      <c r="B3" s="1854"/>
      <c r="C3" s="1854"/>
      <c r="D3" s="1854"/>
      <c r="E3" s="1854"/>
      <c r="F3" s="1854"/>
    </row>
    <row r="4" spans="1:13" ht="21" customHeight="1" x14ac:dyDescent="0.25">
      <c r="A4" s="1855" t="s">
        <v>691</v>
      </c>
      <c r="B4" s="1855"/>
      <c r="C4" s="1855"/>
      <c r="D4" s="1855"/>
      <c r="E4" s="1855"/>
      <c r="F4" s="1855"/>
    </row>
    <row r="5" spans="1:13" ht="12.75" customHeight="1" x14ac:dyDescent="0.25">
      <c r="A5" s="1856"/>
      <c r="B5" s="1856"/>
      <c r="C5" s="1856"/>
      <c r="D5" s="1856"/>
      <c r="E5" s="1856"/>
      <c r="F5" s="1077" t="s">
        <v>830</v>
      </c>
    </row>
    <row r="6" spans="1:13" s="1079" customFormat="1" ht="24.75" customHeight="1" x14ac:dyDescent="0.25">
      <c r="A6" s="1857" t="s">
        <v>693</v>
      </c>
      <c r="B6" s="1857" t="s">
        <v>831</v>
      </c>
      <c r="C6" s="1857" t="s">
        <v>695</v>
      </c>
      <c r="D6" s="1857" t="s">
        <v>2</v>
      </c>
      <c r="E6" s="1857" t="s">
        <v>3</v>
      </c>
      <c r="F6" s="1857"/>
      <c r="G6" s="1078"/>
      <c r="H6" s="1078"/>
      <c r="I6" s="1078"/>
      <c r="J6" s="1078"/>
      <c r="K6" s="1078"/>
      <c r="L6" s="1078"/>
    </row>
    <row r="7" spans="1:13" s="1079" customFormat="1" ht="31.95" customHeight="1" x14ac:dyDescent="0.25">
      <c r="A7" s="1857"/>
      <c r="B7" s="1857"/>
      <c r="C7" s="1857"/>
      <c r="D7" s="1857"/>
      <c r="E7" s="1080" t="s">
        <v>832</v>
      </c>
      <c r="F7" s="1081" t="s">
        <v>833</v>
      </c>
      <c r="G7" s="1078"/>
      <c r="H7" s="1078"/>
      <c r="I7" s="1078"/>
      <c r="J7" s="1078"/>
      <c r="K7" s="1078"/>
      <c r="L7" s="1078"/>
    </row>
    <row r="8" spans="1:13" s="1079" customFormat="1" ht="12" x14ac:dyDescent="0.25">
      <c r="A8" s="1082">
        <v>1</v>
      </c>
      <c r="B8" s="1082">
        <v>2</v>
      </c>
      <c r="C8" s="1082">
        <v>3</v>
      </c>
      <c r="D8" s="1082">
        <v>4</v>
      </c>
      <c r="E8" s="1082">
        <v>5</v>
      </c>
      <c r="F8" s="1082">
        <v>6</v>
      </c>
      <c r="G8" s="1078"/>
      <c r="H8" s="1078"/>
      <c r="I8" s="1078"/>
      <c r="J8" s="1078"/>
      <c r="K8" s="1078"/>
      <c r="L8" s="1078"/>
    </row>
    <row r="9" spans="1:13" s="1079" customFormat="1" ht="15.6" customHeight="1" x14ac:dyDescent="0.25">
      <c r="A9" s="1846" t="s">
        <v>834</v>
      </c>
      <c r="B9" s="1847"/>
      <c r="C9" s="1847"/>
      <c r="D9" s="1847"/>
      <c r="E9" s="1847"/>
      <c r="F9" s="1848"/>
      <c r="G9" s="1078"/>
      <c r="H9" s="1078"/>
      <c r="I9" s="1078"/>
      <c r="J9" s="1078"/>
      <c r="K9" s="1078"/>
      <c r="L9" s="1078"/>
    </row>
    <row r="10" spans="1:13" s="1087" customFormat="1" ht="24.75" customHeight="1" x14ac:dyDescent="0.25">
      <c r="A10" s="1083">
        <v>200000</v>
      </c>
      <c r="B10" s="1084" t="s">
        <v>835</v>
      </c>
      <c r="C10" s="1085">
        <f>D10+E10</f>
        <v>0</v>
      </c>
      <c r="D10" s="1085">
        <f>D11+D17</f>
        <v>-286767340</v>
      </c>
      <c r="E10" s="1085">
        <f>E11+E17</f>
        <v>286767340</v>
      </c>
      <c r="F10" s="1085">
        <f>F11+F17</f>
        <v>286767340</v>
      </c>
      <c r="G10" s="1074"/>
      <c r="H10" s="1086"/>
      <c r="I10" s="1086"/>
      <c r="J10" s="1086"/>
      <c r="K10" s="1086"/>
      <c r="L10" s="1074"/>
    </row>
    <row r="11" spans="1:13" s="1091" customFormat="1" ht="15.6" hidden="1" x14ac:dyDescent="0.25">
      <c r="A11" s="1088" t="s">
        <v>836</v>
      </c>
      <c r="B11" s="1089" t="s">
        <v>649</v>
      </c>
      <c r="C11" s="1090">
        <f>E11</f>
        <v>0</v>
      </c>
      <c r="D11" s="1090"/>
      <c r="E11" s="1090">
        <f>E12+E15</f>
        <v>0</v>
      </c>
      <c r="F11" s="1090">
        <f>F12+F15</f>
        <v>0</v>
      </c>
    </row>
    <row r="12" spans="1:13" s="1091" customFormat="1" ht="31.2" hidden="1" x14ac:dyDescent="0.25">
      <c r="A12" s="1092" t="s">
        <v>837</v>
      </c>
      <c r="B12" s="1093" t="s">
        <v>838</v>
      </c>
      <c r="C12" s="1094">
        <f>C13-C14</f>
        <v>0</v>
      </c>
      <c r="D12" s="1094"/>
      <c r="E12" s="1094"/>
      <c r="F12" s="1094"/>
    </row>
    <row r="13" spans="1:13" s="1091" customFormat="1" ht="15.6" hidden="1" x14ac:dyDescent="0.25">
      <c r="A13" s="1092">
        <v>203410</v>
      </c>
      <c r="B13" s="1093" t="s">
        <v>651</v>
      </c>
      <c r="C13" s="1094"/>
      <c r="D13" s="1094"/>
      <c r="E13" s="1094"/>
      <c r="F13" s="1094"/>
    </row>
    <row r="14" spans="1:13" s="1095" customFormat="1" ht="15.6" hidden="1" x14ac:dyDescent="0.25">
      <c r="A14" s="1092" t="s">
        <v>839</v>
      </c>
      <c r="B14" s="1093" t="s">
        <v>652</v>
      </c>
      <c r="C14" s="1094"/>
      <c r="D14" s="1094"/>
      <c r="E14" s="1094"/>
      <c r="F14" s="1094"/>
    </row>
    <row r="15" spans="1:13" s="1091" customFormat="1" ht="15.6" hidden="1" x14ac:dyDescent="0.25">
      <c r="A15" s="1088">
        <v>203500</v>
      </c>
      <c r="B15" s="1089" t="s">
        <v>649</v>
      </c>
      <c r="C15" s="1090">
        <f>C16</f>
        <v>0</v>
      </c>
      <c r="D15" s="1090"/>
      <c r="E15" s="1090">
        <f>E16</f>
        <v>0</v>
      </c>
      <c r="F15" s="1090">
        <f>E15</f>
        <v>0</v>
      </c>
    </row>
    <row r="16" spans="1:13" s="1091" customFormat="1" ht="15.6" hidden="1" x14ac:dyDescent="0.25">
      <c r="A16" s="1092" t="s">
        <v>840</v>
      </c>
      <c r="B16" s="1093" t="s">
        <v>648</v>
      </c>
      <c r="C16" s="1094">
        <f>E16</f>
        <v>0</v>
      </c>
      <c r="D16" s="1094"/>
      <c r="E16" s="1094"/>
      <c r="F16" s="1094"/>
    </row>
    <row r="17" spans="1:11" s="1091" customFormat="1" ht="30.45" customHeight="1" x14ac:dyDescent="0.25">
      <c r="A17" s="1088" t="s">
        <v>841</v>
      </c>
      <c r="B17" s="1089" t="s">
        <v>842</v>
      </c>
      <c r="C17" s="1090">
        <f>C18-C19+C22+C20</f>
        <v>0</v>
      </c>
      <c r="D17" s="1090">
        <f>D18-D19+D22+D20</f>
        <v>-286767340</v>
      </c>
      <c r="E17" s="1090">
        <f>E18-E19+E22+E20</f>
        <v>286767340</v>
      </c>
      <c r="F17" s="1090">
        <f>F18-F19+F22+F20</f>
        <v>286767340</v>
      </c>
      <c r="K17" s="1096"/>
    </row>
    <row r="18" spans="1:11" s="1091" customFormat="1" ht="15.6" hidden="1" x14ac:dyDescent="0.25">
      <c r="A18" s="1092" t="s">
        <v>843</v>
      </c>
      <c r="B18" s="1093" t="s">
        <v>656</v>
      </c>
      <c r="C18" s="1094">
        <f>D18+E18</f>
        <v>0</v>
      </c>
      <c r="D18" s="1094"/>
      <c r="E18" s="1094"/>
      <c r="F18" s="1094"/>
      <c r="H18" s="1096"/>
      <c r="K18" s="1096"/>
    </row>
    <row r="19" spans="1:11" s="1091" customFormat="1" ht="15.6" hidden="1" x14ac:dyDescent="0.25">
      <c r="A19" s="1092">
        <v>208200</v>
      </c>
      <c r="B19" s="1093" t="s">
        <v>844</v>
      </c>
      <c r="C19" s="1094">
        <f>D19+E19</f>
        <v>0</v>
      </c>
      <c r="D19" s="1094"/>
      <c r="E19" s="1094"/>
      <c r="F19" s="1094">
        <f>16414858.35-16414858.35</f>
        <v>0</v>
      </c>
      <c r="H19" s="1096"/>
      <c r="I19" s="1096"/>
    </row>
    <row r="20" spans="1:11" s="1097" customFormat="1" ht="31.2" hidden="1" x14ac:dyDescent="0.3">
      <c r="A20" s="1092">
        <v>208320</v>
      </c>
      <c r="B20" s="1093" t="s">
        <v>663</v>
      </c>
      <c r="C20" s="1094">
        <f>E20+D20</f>
        <v>0</v>
      </c>
      <c r="D20" s="1094"/>
      <c r="E20" s="1094"/>
      <c r="F20" s="1094"/>
    </row>
    <row r="21" spans="1:11" s="1098" customFormat="1" ht="17.399999999999999" hidden="1" x14ac:dyDescent="0.35">
      <c r="A21" s="1092" t="s">
        <v>845</v>
      </c>
      <c r="B21" s="1093" t="s">
        <v>846</v>
      </c>
      <c r="C21" s="1094">
        <f>E21</f>
        <v>0</v>
      </c>
      <c r="D21" s="1094"/>
      <c r="E21" s="1094"/>
      <c r="F21" s="1094">
        <f>E21</f>
        <v>0</v>
      </c>
    </row>
    <row r="22" spans="1:11" s="1097" customFormat="1" ht="47.25" customHeight="1" x14ac:dyDescent="0.3">
      <c r="A22" s="1092" t="s">
        <v>847</v>
      </c>
      <c r="B22" s="1093" t="s">
        <v>664</v>
      </c>
      <c r="C22" s="1094">
        <f>D22+E22</f>
        <v>0</v>
      </c>
      <c r="D22" s="1094">
        <f>-151310413-20615000+155404439-163107500-143523300+17327700-6199100+11900000+15363238-900000-4669750+3562346</f>
        <v>-286767340</v>
      </c>
      <c r="E22" s="1094">
        <f>151310413+20615000-155404439+163107500+143523300-17327700+6199100-11900000-15363238+900000+4669750-3562346</f>
        <v>286767340</v>
      </c>
      <c r="F22" s="1094">
        <f>E22</f>
        <v>286767340</v>
      </c>
      <c r="H22" s="1099"/>
      <c r="J22" s="1099"/>
    </row>
    <row r="23" spans="1:11" s="1097" customFormat="1" ht="17.100000000000001" hidden="1" customHeight="1" x14ac:dyDescent="0.3">
      <c r="A23" s="1088">
        <v>400000</v>
      </c>
      <c r="B23" s="1089" t="s">
        <v>848</v>
      </c>
      <c r="C23" s="1100">
        <f>E23</f>
        <v>0</v>
      </c>
      <c r="D23" s="1100"/>
      <c r="E23" s="1100">
        <f>E24</f>
        <v>0</v>
      </c>
      <c r="F23" s="1100">
        <f>F24</f>
        <v>0</v>
      </c>
    </row>
    <row r="24" spans="1:11" s="1097" customFormat="1" ht="17.100000000000001" hidden="1" customHeight="1" x14ac:dyDescent="0.3">
      <c r="A24" s="1088">
        <v>402000</v>
      </c>
      <c r="B24" s="1089" t="s">
        <v>849</v>
      </c>
      <c r="C24" s="1100">
        <f>E24</f>
        <v>0</v>
      </c>
      <c r="D24" s="1100"/>
      <c r="E24" s="1100"/>
      <c r="F24" s="1100"/>
    </row>
    <row r="25" spans="1:11" s="1097" customFormat="1" ht="17.100000000000001" hidden="1" customHeight="1" x14ac:dyDescent="0.3">
      <c r="A25" s="1092">
        <v>402100</v>
      </c>
      <c r="B25" s="1093" t="s">
        <v>850</v>
      </c>
      <c r="C25" s="1101">
        <f>E25</f>
        <v>0</v>
      </c>
      <c r="D25" s="1101"/>
      <c r="E25" s="1101"/>
      <c r="F25" s="1101"/>
    </row>
    <row r="26" spans="1:11" s="1097" customFormat="1" ht="17.100000000000001" hidden="1" customHeight="1" x14ac:dyDescent="0.3">
      <c r="A26" s="1092">
        <v>402102</v>
      </c>
      <c r="B26" s="1093" t="s">
        <v>851</v>
      </c>
      <c r="C26" s="1101">
        <f>E26</f>
        <v>0</v>
      </c>
      <c r="D26" s="1101"/>
      <c r="E26" s="1101"/>
      <c r="F26" s="1101"/>
    </row>
    <row r="27" spans="1:11" s="1097" customFormat="1" ht="16.5" hidden="1" customHeight="1" x14ac:dyDescent="0.3">
      <c r="A27" s="1083">
        <v>300000</v>
      </c>
      <c r="B27" s="1084" t="s">
        <v>665</v>
      </c>
      <c r="C27" s="1102">
        <f>D27+E27</f>
        <v>0</v>
      </c>
      <c r="D27" s="1103"/>
      <c r="E27" s="1102">
        <f>E29+E30</f>
        <v>0</v>
      </c>
      <c r="F27" s="1102">
        <f>F29+F30</f>
        <v>0</v>
      </c>
      <c r="H27" s="1099"/>
    </row>
    <row r="28" spans="1:11" s="1097" customFormat="1" ht="30.75" hidden="1" customHeight="1" x14ac:dyDescent="0.3">
      <c r="A28" s="1088">
        <v>301000</v>
      </c>
      <c r="B28" s="1089" t="s">
        <v>666</v>
      </c>
      <c r="C28" s="1104">
        <f>C29+C30</f>
        <v>0</v>
      </c>
      <c r="D28" s="1105"/>
      <c r="E28" s="1104">
        <f>E29+E30</f>
        <v>0</v>
      </c>
      <c r="F28" s="1104">
        <f>F29+F30</f>
        <v>0</v>
      </c>
    </row>
    <row r="29" spans="1:11" s="1097" customFormat="1" ht="16.5" hidden="1" customHeight="1" x14ac:dyDescent="0.3">
      <c r="A29" s="1092">
        <v>301100</v>
      </c>
      <c r="B29" s="1093" t="s">
        <v>852</v>
      </c>
      <c r="C29" s="1105">
        <f>D29+E29</f>
        <v>0</v>
      </c>
      <c r="D29" s="1101"/>
      <c r="E29" s="1105"/>
      <c r="F29" s="1105">
        <f>E29</f>
        <v>0</v>
      </c>
      <c r="I29" s="1099"/>
    </row>
    <row r="30" spans="1:11" s="1097" customFormat="1" ht="16.5" hidden="1" customHeight="1" x14ac:dyDescent="0.3">
      <c r="A30" s="1092">
        <v>301200</v>
      </c>
      <c r="B30" s="1093" t="s">
        <v>648</v>
      </c>
      <c r="C30" s="1105">
        <f>D30+E30</f>
        <v>0</v>
      </c>
      <c r="D30" s="1101"/>
      <c r="E30" s="1105"/>
      <c r="F30" s="1105">
        <f>E30</f>
        <v>0</v>
      </c>
    </row>
    <row r="31" spans="1:11" s="1109" customFormat="1" ht="15.6" x14ac:dyDescent="0.3">
      <c r="A31" s="1106" t="s">
        <v>853</v>
      </c>
      <c r="B31" s="1107" t="s">
        <v>854</v>
      </c>
      <c r="C31" s="1108">
        <f>C10</f>
        <v>0</v>
      </c>
      <c r="D31" s="1108">
        <f>D10</f>
        <v>-286767340</v>
      </c>
      <c r="E31" s="1108">
        <f>E10</f>
        <v>286767340</v>
      </c>
      <c r="F31" s="1108">
        <f>F10</f>
        <v>286767340</v>
      </c>
    </row>
    <row r="32" spans="1:11" s="1097" customFormat="1" ht="16.5" customHeight="1" x14ac:dyDescent="0.3">
      <c r="A32" s="1846" t="s">
        <v>855</v>
      </c>
      <c r="B32" s="1847"/>
      <c r="C32" s="1847"/>
      <c r="D32" s="1847"/>
      <c r="E32" s="1847"/>
      <c r="F32" s="1848"/>
    </row>
    <row r="33" spans="1:12" s="1097" customFormat="1" ht="32.25" hidden="1" customHeight="1" x14ac:dyDescent="0.3">
      <c r="A33" s="1083">
        <v>400000</v>
      </c>
      <c r="B33" s="1084" t="s">
        <v>848</v>
      </c>
      <c r="C33" s="1102">
        <f>C34+C37</f>
        <v>0</v>
      </c>
      <c r="D33" s="1102">
        <f>D34+D37</f>
        <v>0</v>
      </c>
      <c r="E33" s="1102">
        <f>E34+E37</f>
        <v>0</v>
      </c>
      <c r="F33" s="1102">
        <f>F34+F37</f>
        <v>0</v>
      </c>
      <c r="I33" s="1099"/>
    </row>
    <row r="34" spans="1:12" s="1097" customFormat="1" ht="16.5" hidden="1" customHeight="1" x14ac:dyDescent="0.3">
      <c r="A34" s="1088">
        <v>401000</v>
      </c>
      <c r="B34" s="1089" t="s">
        <v>856</v>
      </c>
      <c r="C34" s="1104">
        <f>C35</f>
        <v>0</v>
      </c>
      <c r="D34" s="1104"/>
      <c r="E34" s="1104">
        <f>E35</f>
        <v>0</v>
      </c>
      <c r="F34" s="1104">
        <f>F35</f>
        <v>0</v>
      </c>
    </row>
    <row r="35" spans="1:12" s="1097" customFormat="1" ht="16.5" hidden="1" customHeight="1" x14ac:dyDescent="0.3">
      <c r="A35" s="1110">
        <v>401200</v>
      </c>
      <c r="B35" s="1111" t="s">
        <v>857</v>
      </c>
      <c r="C35" s="1112">
        <f>C36</f>
        <v>0</v>
      </c>
      <c r="D35" s="1112"/>
      <c r="E35" s="1112">
        <f>E36</f>
        <v>0</v>
      </c>
      <c r="F35" s="1112">
        <f>F36</f>
        <v>0</v>
      </c>
    </row>
    <row r="36" spans="1:12" s="1097" customFormat="1" ht="16.5" hidden="1" customHeight="1" x14ac:dyDescent="0.3">
      <c r="A36" s="1092">
        <v>401202</v>
      </c>
      <c r="B36" s="1093" t="s">
        <v>851</v>
      </c>
      <c r="C36" s="1105">
        <f>C29</f>
        <v>0</v>
      </c>
      <c r="D36" s="1105"/>
      <c r="E36" s="1105">
        <f>E29</f>
        <v>0</v>
      </c>
      <c r="F36" s="1105">
        <f>F29</f>
        <v>0</v>
      </c>
    </row>
    <row r="37" spans="1:12" s="1097" customFormat="1" ht="16.5" hidden="1" customHeight="1" x14ac:dyDescent="0.3">
      <c r="A37" s="1088">
        <v>402000</v>
      </c>
      <c r="B37" s="1089" t="s">
        <v>849</v>
      </c>
      <c r="C37" s="1104">
        <f>C40+C38</f>
        <v>0</v>
      </c>
      <c r="D37" s="1104">
        <f>D40+D38</f>
        <v>0</v>
      </c>
      <c r="E37" s="1104">
        <f>E40+E38</f>
        <v>0</v>
      </c>
      <c r="F37" s="1104">
        <f>F40+F38</f>
        <v>0</v>
      </c>
    </row>
    <row r="38" spans="1:12" s="1098" customFormat="1" ht="16.5" hidden="1" customHeight="1" x14ac:dyDescent="0.35">
      <c r="A38" s="1110">
        <v>402100</v>
      </c>
      <c r="B38" s="1111" t="s">
        <v>850</v>
      </c>
      <c r="C38" s="1112">
        <f>E38</f>
        <v>0</v>
      </c>
      <c r="D38" s="1112"/>
      <c r="E38" s="1112">
        <f>E39</f>
        <v>0</v>
      </c>
      <c r="F38" s="1112">
        <f>E38</f>
        <v>0</v>
      </c>
    </row>
    <row r="39" spans="1:12" s="1097" customFormat="1" ht="16.5" hidden="1" customHeight="1" x14ac:dyDescent="0.3">
      <c r="A39" s="1092">
        <v>402102</v>
      </c>
      <c r="B39" s="1093" t="s">
        <v>851</v>
      </c>
      <c r="C39" s="1105">
        <f>E39</f>
        <v>0</v>
      </c>
      <c r="D39" s="1105"/>
      <c r="E39" s="1105">
        <f>E16</f>
        <v>0</v>
      </c>
      <c r="F39" s="1105">
        <f>E39</f>
        <v>0</v>
      </c>
    </row>
    <row r="40" spans="1:12" s="1097" customFormat="1" ht="16.5" hidden="1" customHeight="1" x14ac:dyDescent="0.3">
      <c r="A40" s="1110">
        <v>402200</v>
      </c>
      <c r="B40" s="1111" t="s">
        <v>674</v>
      </c>
      <c r="C40" s="1105">
        <f>C41</f>
        <v>0</v>
      </c>
      <c r="D40" s="1105"/>
      <c r="E40" s="1105">
        <f>E41</f>
        <v>0</v>
      </c>
      <c r="F40" s="1105">
        <f>F41</f>
        <v>0</v>
      </c>
    </row>
    <row r="41" spans="1:12" s="1097" customFormat="1" ht="16.5" hidden="1" customHeight="1" x14ac:dyDescent="0.3">
      <c r="A41" s="1092">
        <v>402202</v>
      </c>
      <c r="B41" s="1093" t="s">
        <v>851</v>
      </c>
      <c r="C41" s="1105">
        <f>C30</f>
        <v>0</v>
      </c>
      <c r="D41" s="1105"/>
      <c r="E41" s="1105">
        <f>E30</f>
        <v>0</v>
      </c>
      <c r="F41" s="1105">
        <f>F30</f>
        <v>0</v>
      </c>
    </row>
    <row r="42" spans="1:12" s="1115" customFormat="1" ht="15.6" x14ac:dyDescent="0.25">
      <c r="A42" s="1083">
        <v>600000</v>
      </c>
      <c r="B42" s="1113" t="s">
        <v>675</v>
      </c>
      <c r="C42" s="1085">
        <f>C43</f>
        <v>0</v>
      </c>
      <c r="D42" s="1085">
        <f>D43</f>
        <v>-286767340</v>
      </c>
      <c r="E42" s="1085">
        <f>E43</f>
        <v>286767340</v>
      </c>
      <c r="F42" s="1085">
        <f>F43</f>
        <v>286767340</v>
      </c>
      <c r="G42" s="1114"/>
      <c r="H42" s="1114"/>
      <c r="I42" s="1114"/>
      <c r="J42" s="1114"/>
      <c r="K42" s="1114"/>
      <c r="L42" s="1114"/>
    </row>
    <row r="43" spans="1:12" s="1091" customFormat="1" ht="15.6" x14ac:dyDescent="0.25">
      <c r="A43" s="1088" t="s">
        <v>858</v>
      </c>
      <c r="B43" s="1089" t="s">
        <v>859</v>
      </c>
      <c r="C43" s="1116">
        <f>C44-C45+C48+C46</f>
        <v>0</v>
      </c>
      <c r="D43" s="1116">
        <f>D44-D45+D48+D47</f>
        <v>-286767340</v>
      </c>
      <c r="E43" s="1116">
        <f>E44-E45+E48+E46</f>
        <v>286767340</v>
      </c>
      <c r="F43" s="1116">
        <f>F44-F45+F48+F46</f>
        <v>286767340</v>
      </c>
      <c r="G43" s="1117"/>
    </row>
    <row r="44" spans="1:12" s="1119" customFormat="1" ht="18" hidden="1" customHeight="1" x14ac:dyDescent="0.25">
      <c r="A44" s="1092" t="s">
        <v>860</v>
      </c>
      <c r="B44" s="1093" t="s">
        <v>656</v>
      </c>
      <c r="C44" s="1118">
        <f t="shared" ref="C44:F45" si="0">C18</f>
        <v>0</v>
      </c>
      <c r="D44" s="1118">
        <f t="shared" si="0"/>
        <v>0</v>
      </c>
      <c r="E44" s="1118">
        <f t="shared" si="0"/>
        <v>0</v>
      </c>
      <c r="F44" s="1118">
        <f t="shared" si="0"/>
        <v>0</v>
      </c>
    </row>
    <row r="45" spans="1:12" s="1119" customFormat="1" ht="18" hidden="1" customHeight="1" x14ac:dyDescent="0.25">
      <c r="A45" s="1092" t="s">
        <v>861</v>
      </c>
      <c r="B45" s="1093" t="s">
        <v>844</v>
      </c>
      <c r="C45" s="1118">
        <f t="shared" si="0"/>
        <v>0</v>
      </c>
      <c r="D45" s="1118">
        <f t="shared" si="0"/>
        <v>0</v>
      </c>
      <c r="E45" s="1118">
        <f t="shared" si="0"/>
        <v>0</v>
      </c>
      <c r="F45" s="1118">
        <f t="shared" si="0"/>
        <v>0</v>
      </c>
    </row>
    <row r="46" spans="1:12" s="1119" customFormat="1" ht="15.6" hidden="1" x14ac:dyDescent="0.25">
      <c r="A46" s="1092" t="s">
        <v>862</v>
      </c>
      <c r="B46" s="1093" t="s">
        <v>658</v>
      </c>
      <c r="C46" s="1120">
        <f>C47</f>
        <v>0</v>
      </c>
      <c r="D46" s="1120">
        <f>D47</f>
        <v>0</v>
      </c>
      <c r="E46" s="1120">
        <f>E47</f>
        <v>0</v>
      </c>
      <c r="F46" s="1120">
        <f>F47</f>
        <v>0</v>
      </c>
    </row>
    <row r="47" spans="1:12" s="1095" customFormat="1" ht="31.2" hidden="1" x14ac:dyDescent="0.25">
      <c r="A47" s="1092">
        <v>602302</v>
      </c>
      <c r="B47" s="1093" t="s">
        <v>663</v>
      </c>
      <c r="C47" s="1120">
        <f t="shared" ref="C47:F48" si="1">C21</f>
        <v>0</v>
      </c>
      <c r="D47" s="1120">
        <f>D20</f>
        <v>0</v>
      </c>
      <c r="E47" s="1120">
        <f>E20</f>
        <v>0</v>
      </c>
      <c r="F47" s="1120">
        <f>F20</f>
        <v>0</v>
      </c>
    </row>
    <row r="48" spans="1:12" s="1119" customFormat="1" ht="48.45" customHeight="1" x14ac:dyDescent="0.25">
      <c r="A48" s="1092" t="s">
        <v>863</v>
      </c>
      <c r="B48" s="1093" t="s">
        <v>664</v>
      </c>
      <c r="C48" s="1118">
        <f t="shared" si="1"/>
        <v>0</v>
      </c>
      <c r="D48" s="1118">
        <f>D22</f>
        <v>-286767340</v>
      </c>
      <c r="E48" s="1118">
        <f t="shared" si="1"/>
        <v>286767340</v>
      </c>
      <c r="F48" s="1118">
        <f t="shared" si="1"/>
        <v>286767340</v>
      </c>
      <c r="G48" s="1076"/>
    </row>
    <row r="49" spans="1:12" s="1109" customFormat="1" ht="15.6" x14ac:dyDescent="0.3">
      <c r="A49" s="1106" t="s">
        <v>853</v>
      </c>
      <c r="B49" s="1107" t="s">
        <v>854</v>
      </c>
      <c r="C49" s="1108">
        <f>C10+C27</f>
        <v>0</v>
      </c>
      <c r="D49" s="1108">
        <f>D10+D27</f>
        <v>-286767340</v>
      </c>
      <c r="E49" s="1108">
        <f>E10+E27</f>
        <v>286767340</v>
      </c>
      <c r="F49" s="1108">
        <f>F10+F27</f>
        <v>286767340</v>
      </c>
    </row>
    <row r="50" spans="1:12" ht="12.75" customHeight="1" x14ac:dyDescent="0.25">
      <c r="H50" s="1086"/>
    </row>
    <row r="51" spans="1:12" s="1123" customFormat="1" ht="54" customHeight="1" x14ac:dyDescent="0.3">
      <c r="A51" s="1849" t="s">
        <v>681</v>
      </c>
      <c r="B51" s="1849"/>
      <c r="C51" s="1121"/>
      <c r="D51" s="1122"/>
      <c r="E51" s="1850" t="s">
        <v>682</v>
      </c>
      <c r="F51" s="1850"/>
      <c r="G51" s="1074"/>
      <c r="H51" s="1086"/>
      <c r="I51" s="1086"/>
      <c r="J51" s="1074"/>
      <c r="K51" s="1074"/>
      <c r="L51" s="1074"/>
    </row>
    <row r="52" spans="1:12" ht="12.75" customHeight="1" x14ac:dyDescent="0.25">
      <c r="D52" s="1086"/>
      <c r="E52" s="1086"/>
      <c r="F52" s="1086"/>
    </row>
    <row r="53" spans="1:12" ht="12.75" customHeight="1" x14ac:dyDescent="0.25">
      <c r="E53" s="1086"/>
      <c r="F53" s="1086"/>
      <c r="H53" s="1086"/>
    </row>
    <row r="54" spans="1:12" ht="12.75" customHeight="1" x14ac:dyDescent="0.25">
      <c r="I54" s="1086"/>
    </row>
    <row r="56" spans="1:12" ht="12.75" hidden="1" customHeight="1" x14ac:dyDescent="0.25">
      <c r="C56" s="1086">
        <f>C10+C27</f>
        <v>0</v>
      </c>
      <c r="D56" s="1086">
        <f>D10+D27</f>
        <v>-286767340</v>
      </c>
      <c r="E56" s="1086">
        <f>E10+E27</f>
        <v>286767340</v>
      </c>
      <c r="F56" s="1086">
        <f>F10+F27</f>
        <v>286767340</v>
      </c>
    </row>
    <row r="59" spans="1:12" ht="12.75" customHeight="1" x14ac:dyDescent="0.25">
      <c r="E59" s="1086"/>
    </row>
  </sheetData>
  <mergeCells count="14">
    <mergeCell ref="A9:F9"/>
    <mergeCell ref="A32:F32"/>
    <mergeCell ref="A51:B51"/>
    <mergeCell ref="E51:F51"/>
    <mergeCell ref="E1:F1"/>
    <mergeCell ref="A2:F2"/>
    <mergeCell ref="A3:F3"/>
    <mergeCell ref="A4:F4"/>
    <mergeCell ref="A5:E5"/>
    <mergeCell ref="A6:A7"/>
    <mergeCell ref="B6:B7"/>
    <mergeCell ref="C6:C7"/>
    <mergeCell ref="D6:D7"/>
    <mergeCell ref="E6:F6"/>
  </mergeCells>
  <printOptions horizontalCentered="1"/>
  <pageMargins left="0.78740157480314965" right="0.51181102362204722" top="0.59055118110236227" bottom="0.78740157480314965"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65"/>
  <sheetViews>
    <sheetView showGridLines="0" showZeros="0" topLeftCell="A7" zoomScale="80" zoomScaleNormal="80" zoomScaleSheetLayoutView="70" workbookViewId="0">
      <pane xSplit="4" ySplit="5" topLeftCell="N509" activePane="bottomRight" state="frozen"/>
      <selection activeCell="F69" sqref="F69"/>
      <selection pane="topRight" activeCell="F69" sqref="F69"/>
      <selection pane="bottomLeft" activeCell="F69" sqref="F69"/>
      <selection pane="bottomRight" activeCell="F69" sqref="F69"/>
    </sheetView>
  </sheetViews>
  <sheetFormatPr defaultColWidth="9.109375" defaultRowHeight="13.2" x14ac:dyDescent="0.25"/>
  <cols>
    <col min="1" max="1" width="13.77734375" style="1074" customWidth="1"/>
    <col min="2" max="2" width="11.109375" style="1074" customWidth="1"/>
    <col min="3" max="3" width="9.77734375" style="1074" customWidth="1"/>
    <col min="4" max="4" width="52.109375" style="1074" customWidth="1"/>
    <col min="5" max="5" width="20.6640625" style="1124" customWidth="1"/>
    <col min="6" max="6" width="19.44140625" style="1074" customWidth="1"/>
    <col min="7" max="7" width="19" style="1074" customWidth="1"/>
    <col min="8" max="8" width="16" style="1074" customWidth="1"/>
    <col min="9" max="9" width="17.77734375" style="1074" customWidth="1"/>
    <col min="10" max="10" width="17.44140625" style="1074" customWidth="1"/>
    <col min="11" max="11" width="22.109375" style="1074" hidden="1" customWidth="1"/>
    <col min="12" max="12" width="17.109375" style="1074" customWidth="1"/>
    <col min="13" max="13" width="17.88671875" style="1124" customWidth="1"/>
    <col min="14" max="14" width="17" style="1074" customWidth="1"/>
    <col min="15" max="15" width="16.88671875" style="1074" customWidth="1"/>
    <col min="16" max="16" width="16" style="1074" customWidth="1"/>
    <col min="17" max="17" width="14.21875" style="1074" customWidth="1"/>
    <col min="18" max="18" width="15.6640625" style="1074" customWidth="1"/>
    <col min="19" max="19" width="15.88671875" style="1074" customWidth="1"/>
    <col min="20" max="20" width="16.88671875" style="1074" customWidth="1"/>
    <col min="21" max="21" width="19.6640625" style="1294" customWidth="1"/>
    <col min="22" max="22" width="20.5546875" style="1124" customWidth="1"/>
    <col min="23" max="23" width="18.33203125" style="1123" customWidth="1"/>
    <col min="24" max="24" width="18" style="1123" customWidth="1"/>
    <col min="25" max="256" width="9.109375" style="1123"/>
    <col min="257" max="257" width="13.77734375" style="1123" customWidth="1"/>
    <col min="258" max="258" width="11.109375" style="1123" customWidth="1"/>
    <col min="259" max="259" width="9.77734375" style="1123" customWidth="1"/>
    <col min="260" max="260" width="52.109375" style="1123" customWidth="1"/>
    <col min="261" max="261" width="20.6640625" style="1123" customWidth="1"/>
    <col min="262" max="262" width="19.44140625" style="1123" customWidth="1"/>
    <col min="263" max="263" width="19" style="1123" customWidth="1"/>
    <col min="264" max="264" width="16" style="1123" customWidth="1"/>
    <col min="265" max="265" width="17.77734375" style="1123" customWidth="1"/>
    <col min="266" max="266" width="17.44140625" style="1123" customWidth="1"/>
    <col min="267" max="267" width="0" style="1123" hidden="1" customWidth="1"/>
    <col min="268" max="268" width="17.109375" style="1123" customWidth="1"/>
    <col min="269" max="269" width="17.88671875" style="1123" customWidth="1"/>
    <col min="270" max="270" width="17" style="1123" customWidth="1"/>
    <col min="271" max="271" width="16.88671875" style="1123" customWidth="1"/>
    <col min="272" max="272" width="16" style="1123" customWidth="1"/>
    <col min="273" max="273" width="14.21875" style="1123" customWidth="1"/>
    <col min="274" max="274" width="15.6640625" style="1123" customWidth="1"/>
    <col min="275" max="275" width="15.88671875" style="1123" customWidth="1"/>
    <col min="276" max="276" width="16.88671875" style="1123" customWidth="1"/>
    <col min="277" max="277" width="19.6640625" style="1123" customWidth="1"/>
    <col min="278" max="278" width="20.5546875" style="1123" customWidth="1"/>
    <col min="279" max="279" width="18.33203125" style="1123" customWidth="1"/>
    <col min="280" max="280" width="18" style="1123" customWidth="1"/>
    <col min="281" max="512" width="9.109375" style="1123"/>
    <col min="513" max="513" width="13.77734375" style="1123" customWidth="1"/>
    <col min="514" max="514" width="11.109375" style="1123" customWidth="1"/>
    <col min="515" max="515" width="9.77734375" style="1123" customWidth="1"/>
    <col min="516" max="516" width="52.109375" style="1123" customWidth="1"/>
    <col min="517" max="517" width="20.6640625" style="1123" customWidth="1"/>
    <col min="518" max="518" width="19.44140625" style="1123" customWidth="1"/>
    <col min="519" max="519" width="19" style="1123" customWidth="1"/>
    <col min="520" max="520" width="16" style="1123" customWidth="1"/>
    <col min="521" max="521" width="17.77734375" style="1123" customWidth="1"/>
    <col min="522" max="522" width="17.44140625" style="1123" customWidth="1"/>
    <col min="523" max="523" width="0" style="1123" hidden="1" customWidth="1"/>
    <col min="524" max="524" width="17.109375" style="1123" customWidth="1"/>
    <col min="525" max="525" width="17.88671875" style="1123" customWidth="1"/>
    <col min="526" max="526" width="17" style="1123" customWidth="1"/>
    <col min="527" max="527" width="16.88671875" style="1123" customWidth="1"/>
    <col min="528" max="528" width="16" style="1123" customWidth="1"/>
    <col min="529" max="529" width="14.21875" style="1123" customWidth="1"/>
    <col min="530" max="530" width="15.6640625" style="1123" customWidth="1"/>
    <col min="531" max="531" width="15.88671875" style="1123" customWidth="1"/>
    <col min="532" max="532" width="16.88671875" style="1123" customWidth="1"/>
    <col min="533" max="533" width="19.6640625" style="1123" customWidth="1"/>
    <col min="534" max="534" width="20.5546875" style="1123" customWidth="1"/>
    <col min="535" max="535" width="18.33203125" style="1123" customWidth="1"/>
    <col min="536" max="536" width="18" style="1123" customWidth="1"/>
    <col min="537" max="768" width="9.109375" style="1123"/>
    <col min="769" max="769" width="13.77734375" style="1123" customWidth="1"/>
    <col min="770" max="770" width="11.109375" style="1123" customWidth="1"/>
    <col min="771" max="771" width="9.77734375" style="1123" customWidth="1"/>
    <col min="772" max="772" width="52.109375" style="1123" customWidth="1"/>
    <col min="773" max="773" width="20.6640625" style="1123" customWidth="1"/>
    <col min="774" max="774" width="19.44140625" style="1123" customWidth="1"/>
    <col min="775" max="775" width="19" style="1123" customWidth="1"/>
    <col min="776" max="776" width="16" style="1123" customWidth="1"/>
    <col min="777" max="777" width="17.77734375" style="1123" customWidth="1"/>
    <col min="778" max="778" width="17.44140625" style="1123" customWidth="1"/>
    <col min="779" max="779" width="0" style="1123" hidden="1" customWidth="1"/>
    <col min="780" max="780" width="17.109375" style="1123" customWidth="1"/>
    <col min="781" max="781" width="17.88671875" style="1123" customWidth="1"/>
    <col min="782" max="782" width="17" style="1123" customWidth="1"/>
    <col min="783" max="783" width="16.88671875" style="1123" customWidth="1"/>
    <col min="784" max="784" width="16" style="1123" customWidth="1"/>
    <col min="785" max="785" width="14.21875" style="1123" customWidth="1"/>
    <col min="786" max="786" width="15.6640625" style="1123" customWidth="1"/>
    <col min="787" max="787" width="15.88671875" style="1123" customWidth="1"/>
    <col min="788" max="788" width="16.88671875" style="1123" customWidth="1"/>
    <col min="789" max="789" width="19.6640625" style="1123" customWidth="1"/>
    <col min="790" max="790" width="20.5546875" style="1123" customWidth="1"/>
    <col min="791" max="791" width="18.33203125" style="1123" customWidth="1"/>
    <col min="792" max="792" width="18" style="1123" customWidth="1"/>
    <col min="793" max="1024" width="9.109375" style="1123"/>
    <col min="1025" max="1025" width="13.77734375" style="1123" customWidth="1"/>
    <col min="1026" max="1026" width="11.109375" style="1123" customWidth="1"/>
    <col min="1027" max="1027" width="9.77734375" style="1123" customWidth="1"/>
    <col min="1028" max="1028" width="52.109375" style="1123" customWidth="1"/>
    <col min="1029" max="1029" width="20.6640625" style="1123" customWidth="1"/>
    <col min="1030" max="1030" width="19.44140625" style="1123" customWidth="1"/>
    <col min="1031" max="1031" width="19" style="1123" customWidth="1"/>
    <col min="1032" max="1032" width="16" style="1123" customWidth="1"/>
    <col min="1033" max="1033" width="17.77734375" style="1123" customWidth="1"/>
    <col min="1034" max="1034" width="17.44140625" style="1123" customWidth="1"/>
    <col min="1035" max="1035" width="0" style="1123" hidden="1" customWidth="1"/>
    <col min="1036" max="1036" width="17.109375" style="1123" customWidth="1"/>
    <col min="1037" max="1037" width="17.88671875" style="1123" customWidth="1"/>
    <col min="1038" max="1038" width="17" style="1123" customWidth="1"/>
    <col min="1039" max="1039" width="16.88671875" style="1123" customWidth="1"/>
    <col min="1040" max="1040" width="16" style="1123" customWidth="1"/>
    <col min="1041" max="1041" width="14.21875" style="1123" customWidth="1"/>
    <col min="1042" max="1042" width="15.6640625" style="1123" customWidth="1"/>
    <col min="1043" max="1043" width="15.88671875" style="1123" customWidth="1"/>
    <col min="1044" max="1044" width="16.88671875" style="1123" customWidth="1"/>
    <col min="1045" max="1045" width="19.6640625" style="1123" customWidth="1"/>
    <col min="1046" max="1046" width="20.5546875" style="1123" customWidth="1"/>
    <col min="1047" max="1047" width="18.33203125" style="1123" customWidth="1"/>
    <col min="1048" max="1048" width="18" style="1123" customWidth="1"/>
    <col min="1049" max="1280" width="9.109375" style="1123"/>
    <col min="1281" max="1281" width="13.77734375" style="1123" customWidth="1"/>
    <col min="1282" max="1282" width="11.109375" style="1123" customWidth="1"/>
    <col min="1283" max="1283" width="9.77734375" style="1123" customWidth="1"/>
    <col min="1284" max="1284" width="52.109375" style="1123" customWidth="1"/>
    <col min="1285" max="1285" width="20.6640625" style="1123" customWidth="1"/>
    <col min="1286" max="1286" width="19.44140625" style="1123" customWidth="1"/>
    <col min="1287" max="1287" width="19" style="1123" customWidth="1"/>
    <col min="1288" max="1288" width="16" style="1123" customWidth="1"/>
    <col min="1289" max="1289" width="17.77734375" style="1123" customWidth="1"/>
    <col min="1290" max="1290" width="17.44140625" style="1123" customWidth="1"/>
    <col min="1291" max="1291" width="0" style="1123" hidden="1" customWidth="1"/>
    <col min="1292" max="1292" width="17.109375" style="1123" customWidth="1"/>
    <col min="1293" max="1293" width="17.88671875" style="1123" customWidth="1"/>
    <col min="1294" max="1294" width="17" style="1123" customWidth="1"/>
    <col min="1295" max="1295" width="16.88671875" style="1123" customWidth="1"/>
    <col min="1296" max="1296" width="16" style="1123" customWidth="1"/>
    <col min="1297" max="1297" width="14.21875" style="1123" customWidth="1"/>
    <col min="1298" max="1298" width="15.6640625" style="1123" customWidth="1"/>
    <col min="1299" max="1299" width="15.88671875" style="1123" customWidth="1"/>
    <col min="1300" max="1300" width="16.88671875" style="1123" customWidth="1"/>
    <col min="1301" max="1301" width="19.6640625" style="1123" customWidth="1"/>
    <col min="1302" max="1302" width="20.5546875" style="1123" customWidth="1"/>
    <col min="1303" max="1303" width="18.33203125" style="1123" customWidth="1"/>
    <col min="1304" max="1304" width="18" style="1123" customWidth="1"/>
    <col min="1305" max="1536" width="9.109375" style="1123"/>
    <col min="1537" max="1537" width="13.77734375" style="1123" customWidth="1"/>
    <col min="1538" max="1538" width="11.109375" style="1123" customWidth="1"/>
    <col min="1539" max="1539" width="9.77734375" style="1123" customWidth="1"/>
    <col min="1540" max="1540" width="52.109375" style="1123" customWidth="1"/>
    <col min="1541" max="1541" width="20.6640625" style="1123" customWidth="1"/>
    <col min="1542" max="1542" width="19.44140625" style="1123" customWidth="1"/>
    <col min="1543" max="1543" width="19" style="1123" customWidth="1"/>
    <col min="1544" max="1544" width="16" style="1123" customWidth="1"/>
    <col min="1545" max="1545" width="17.77734375" style="1123" customWidth="1"/>
    <col min="1546" max="1546" width="17.44140625" style="1123" customWidth="1"/>
    <col min="1547" max="1547" width="0" style="1123" hidden="1" customWidth="1"/>
    <col min="1548" max="1548" width="17.109375" style="1123" customWidth="1"/>
    <col min="1549" max="1549" width="17.88671875" style="1123" customWidth="1"/>
    <col min="1550" max="1550" width="17" style="1123" customWidth="1"/>
    <col min="1551" max="1551" width="16.88671875" style="1123" customWidth="1"/>
    <col min="1552" max="1552" width="16" style="1123" customWidth="1"/>
    <col min="1553" max="1553" width="14.21875" style="1123" customWidth="1"/>
    <col min="1554" max="1554" width="15.6640625" style="1123" customWidth="1"/>
    <col min="1555" max="1555" width="15.88671875" style="1123" customWidth="1"/>
    <col min="1556" max="1556" width="16.88671875" style="1123" customWidth="1"/>
    <col min="1557" max="1557" width="19.6640625" style="1123" customWidth="1"/>
    <col min="1558" max="1558" width="20.5546875" style="1123" customWidth="1"/>
    <col min="1559" max="1559" width="18.33203125" style="1123" customWidth="1"/>
    <col min="1560" max="1560" width="18" style="1123" customWidth="1"/>
    <col min="1561" max="1792" width="9.109375" style="1123"/>
    <col min="1793" max="1793" width="13.77734375" style="1123" customWidth="1"/>
    <col min="1794" max="1794" width="11.109375" style="1123" customWidth="1"/>
    <col min="1795" max="1795" width="9.77734375" style="1123" customWidth="1"/>
    <col min="1796" max="1796" width="52.109375" style="1123" customWidth="1"/>
    <col min="1797" max="1797" width="20.6640625" style="1123" customWidth="1"/>
    <col min="1798" max="1798" width="19.44140625" style="1123" customWidth="1"/>
    <col min="1799" max="1799" width="19" style="1123" customWidth="1"/>
    <col min="1800" max="1800" width="16" style="1123" customWidth="1"/>
    <col min="1801" max="1801" width="17.77734375" style="1123" customWidth="1"/>
    <col min="1802" max="1802" width="17.44140625" style="1123" customWidth="1"/>
    <col min="1803" max="1803" width="0" style="1123" hidden="1" customWidth="1"/>
    <col min="1804" max="1804" width="17.109375" style="1123" customWidth="1"/>
    <col min="1805" max="1805" width="17.88671875" style="1123" customWidth="1"/>
    <col min="1806" max="1806" width="17" style="1123" customWidth="1"/>
    <col min="1807" max="1807" width="16.88671875" style="1123" customWidth="1"/>
    <col min="1808" max="1808" width="16" style="1123" customWidth="1"/>
    <col min="1809" max="1809" width="14.21875" style="1123" customWidth="1"/>
    <col min="1810" max="1810" width="15.6640625" style="1123" customWidth="1"/>
    <col min="1811" max="1811" width="15.88671875" style="1123" customWidth="1"/>
    <col min="1812" max="1812" width="16.88671875" style="1123" customWidth="1"/>
    <col min="1813" max="1813" width="19.6640625" style="1123" customWidth="1"/>
    <col min="1814" max="1814" width="20.5546875" style="1123" customWidth="1"/>
    <col min="1815" max="1815" width="18.33203125" style="1123" customWidth="1"/>
    <col min="1816" max="1816" width="18" style="1123" customWidth="1"/>
    <col min="1817" max="2048" width="9.109375" style="1123"/>
    <col min="2049" max="2049" width="13.77734375" style="1123" customWidth="1"/>
    <col min="2050" max="2050" width="11.109375" style="1123" customWidth="1"/>
    <col min="2051" max="2051" width="9.77734375" style="1123" customWidth="1"/>
    <col min="2052" max="2052" width="52.109375" style="1123" customWidth="1"/>
    <col min="2053" max="2053" width="20.6640625" style="1123" customWidth="1"/>
    <col min="2054" max="2054" width="19.44140625" style="1123" customWidth="1"/>
    <col min="2055" max="2055" width="19" style="1123" customWidth="1"/>
    <col min="2056" max="2056" width="16" style="1123" customWidth="1"/>
    <col min="2057" max="2057" width="17.77734375" style="1123" customWidth="1"/>
    <col min="2058" max="2058" width="17.44140625" style="1123" customWidth="1"/>
    <col min="2059" max="2059" width="0" style="1123" hidden="1" customWidth="1"/>
    <col min="2060" max="2060" width="17.109375" style="1123" customWidth="1"/>
    <col min="2061" max="2061" width="17.88671875" style="1123" customWidth="1"/>
    <col min="2062" max="2062" width="17" style="1123" customWidth="1"/>
    <col min="2063" max="2063" width="16.88671875" style="1123" customWidth="1"/>
    <col min="2064" max="2064" width="16" style="1123" customWidth="1"/>
    <col min="2065" max="2065" width="14.21875" style="1123" customWidth="1"/>
    <col min="2066" max="2066" width="15.6640625" style="1123" customWidth="1"/>
    <col min="2067" max="2067" width="15.88671875" style="1123" customWidth="1"/>
    <col min="2068" max="2068" width="16.88671875" style="1123" customWidth="1"/>
    <col min="2069" max="2069" width="19.6640625" style="1123" customWidth="1"/>
    <col min="2070" max="2070" width="20.5546875" style="1123" customWidth="1"/>
    <col min="2071" max="2071" width="18.33203125" style="1123" customWidth="1"/>
    <col min="2072" max="2072" width="18" style="1123" customWidth="1"/>
    <col min="2073" max="2304" width="9.109375" style="1123"/>
    <col min="2305" max="2305" width="13.77734375" style="1123" customWidth="1"/>
    <col min="2306" max="2306" width="11.109375" style="1123" customWidth="1"/>
    <col min="2307" max="2307" width="9.77734375" style="1123" customWidth="1"/>
    <col min="2308" max="2308" width="52.109375" style="1123" customWidth="1"/>
    <col min="2309" max="2309" width="20.6640625" style="1123" customWidth="1"/>
    <col min="2310" max="2310" width="19.44140625" style="1123" customWidth="1"/>
    <col min="2311" max="2311" width="19" style="1123" customWidth="1"/>
    <col min="2312" max="2312" width="16" style="1123" customWidth="1"/>
    <col min="2313" max="2313" width="17.77734375" style="1123" customWidth="1"/>
    <col min="2314" max="2314" width="17.44140625" style="1123" customWidth="1"/>
    <col min="2315" max="2315" width="0" style="1123" hidden="1" customWidth="1"/>
    <col min="2316" max="2316" width="17.109375" style="1123" customWidth="1"/>
    <col min="2317" max="2317" width="17.88671875" style="1123" customWidth="1"/>
    <col min="2318" max="2318" width="17" style="1123" customWidth="1"/>
    <col min="2319" max="2319" width="16.88671875" style="1123" customWidth="1"/>
    <col min="2320" max="2320" width="16" style="1123" customWidth="1"/>
    <col min="2321" max="2321" width="14.21875" style="1123" customWidth="1"/>
    <col min="2322" max="2322" width="15.6640625" style="1123" customWidth="1"/>
    <col min="2323" max="2323" width="15.88671875" style="1123" customWidth="1"/>
    <col min="2324" max="2324" width="16.88671875" style="1123" customWidth="1"/>
    <col min="2325" max="2325" width="19.6640625" style="1123" customWidth="1"/>
    <col min="2326" max="2326" width="20.5546875" style="1123" customWidth="1"/>
    <col min="2327" max="2327" width="18.33203125" style="1123" customWidth="1"/>
    <col min="2328" max="2328" width="18" style="1123" customWidth="1"/>
    <col min="2329" max="2560" width="9.109375" style="1123"/>
    <col min="2561" max="2561" width="13.77734375" style="1123" customWidth="1"/>
    <col min="2562" max="2562" width="11.109375" style="1123" customWidth="1"/>
    <col min="2563" max="2563" width="9.77734375" style="1123" customWidth="1"/>
    <col min="2564" max="2564" width="52.109375" style="1123" customWidth="1"/>
    <col min="2565" max="2565" width="20.6640625" style="1123" customWidth="1"/>
    <col min="2566" max="2566" width="19.44140625" style="1123" customWidth="1"/>
    <col min="2567" max="2567" width="19" style="1123" customWidth="1"/>
    <col min="2568" max="2568" width="16" style="1123" customWidth="1"/>
    <col min="2569" max="2569" width="17.77734375" style="1123" customWidth="1"/>
    <col min="2570" max="2570" width="17.44140625" style="1123" customWidth="1"/>
    <col min="2571" max="2571" width="0" style="1123" hidden="1" customWidth="1"/>
    <col min="2572" max="2572" width="17.109375" style="1123" customWidth="1"/>
    <col min="2573" max="2573" width="17.88671875" style="1123" customWidth="1"/>
    <col min="2574" max="2574" width="17" style="1123" customWidth="1"/>
    <col min="2575" max="2575" width="16.88671875" style="1123" customWidth="1"/>
    <col min="2576" max="2576" width="16" style="1123" customWidth="1"/>
    <col min="2577" max="2577" width="14.21875" style="1123" customWidth="1"/>
    <col min="2578" max="2578" width="15.6640625" style="1123" customWidth="1"/>
    <col min="2579" max="2579" width="15.88671875" style="1123" customWidth="1"/>
    <col min="2580" max="2580" width="16.88671875" style="1123" customWidth="1"/>
    <col min="2581" max="2581" width="19.6640625" style="1123" customWidth="1"/>
    <col min="2582" max="2582" width="20.5546875" style="1123" customWidth="1"/>
    <col min="2583" max="2583" width="18.33203125" style="1123" customWidth="1"/>
    <col min="2584" max="2584" width="18" style="1123" customWidth="1"/>
    <col min="2585" max="2816" width="9.109375" style="1123"/>
    <col min="2817" max="2817" width="13.77734375" style="1123" customWidth="1"/>
    <col min="2818" max="2818" width="11.109375" style="1123" customWidth="1"/>
    <col min="2819" max="2819" width="9.77734375" style="1123" customWidth="1"/>
    <col min="2820" max="2820" width="52.109375" style="1123" customWidth="1"/>
    <col min="2821" max="2821" width="20.6640625" style="1123" customWidth="1"/>
    <col min="2822" max="2822" width="19.44140625" style="1123" customWidth="1"/>
    <col min="2823" max="2823" width="19" style="1123" customWidth="1"/>
    <col min="2824" max="2824" width="16" style="1123" customWidth="1"/>
    <col min="2825" max="2825" width="17.77734375" style="1123" customWidth="1"/>
    <col min="2826" max="2826" width="17.44140625" style="1123" customWidth="1"/>
    <col min="2827" max="2827" width="0" style="1123" hidden="1" customWidth="1"/>
    <col min="2828" max="2828" width="17.109375" style="1123" customWidth="1"/>
    <col min="2829" max="2829" width="17.88671875" style="1123" customWidth="1"/>
    <col min="2830" max="2830" width="17" style="1123" customWidth="1"/>
    <col min="2831" max="2831" width="16.88671875" style="1123" customWidth="1"/>
    <col min="2832" max="2832" width="16" style="1123" customWidth="1"/>
    <col min="2833" max="2833" width="14.21875" style="1123" customWidth="1"/>
    <col min="2834" max="2834" width="15.6640625" style="1123" customWidth="1"/>
    <col min="2835" max="2835" width="15.88671875" style="1123" customWidth="1"/>
    <col min="2836" max="2836" width="16.88671875" style="1123" customWidth="1"/>
    <col min="2837" max="2837" width="19.6640625" style="1123" customWidth="1"/>
    <col min="2838" max="2838" width="20.5546875" style="1123" customWidth="1"/>
    <col min="2839" max="2839" width="18.33203125" style="1123" customWidth="1"/>
    <col min="2840" max="2840" width="18" style="1123" customWidth="1"/>
    <col min="2841" max="3072" width="9.109375" style="1123"/>
    <col min="3073" max="3073" width="13.77734375" style="1123" customWidth="1"/>
    <col min="3074" max="3074" width="11.109375" style="1123" customWidth="1"/>
    <col min="3075" max="3075" width="9.77734375" style="1123" customWidth="1"/>
    <col min="3076" max="3076" width="52.109375" style="1123" customWidth="1"/>
    <col min="3077" max="3077" width="20.6640625" style="1123" customWidth="1"/>
    <col min="3078" max="3078" width="19.44140625" style="1123" customWidth="1"/>
    <col min="3079" max="3079" width="19" style="1123" customWidth="1"/>
    <col min="3080" max="3080" width="16" style="1123" customWidth="1"/>
    <col min="3081" max="3081" width="17.77734375" style="1123" customWidth="1"/>
    <col min="3082" max="3082" width="17.44140625" style="1123" customWidth="1"/>
    <col min="3083" max="3083" width="0" style="1123" hidden="1" customWidth="1"/>
    <col min="3084" max="3084" width="17.109375" style="1123" customWidth="1"/>
    <col min="3085" max="3085" width="17.88671875" style="1123" customWidth="1"/>
    <col min="3086" max="3086" width="17" style="1123" customWidth="1"/>
    <col min="3087" max="3087" width="16.88671875" style="1123" customWidth="1"/>
    <col min="3088" max="3088" width="16" style="1123" customWidth="1"/>
    <col min="3089" max="3089" width="14.21875" style="1123" customWidth="1"/>
    <col min="3090" max="3090" width="15.6640625" style="1123" customWidth="1"/>
    <col min="3091" max="3091" width="15.88671875" style="1123" customWidth="1"/>
    <col min="3092" max="3092" width="16.88671875" style="1123" customWidth="1"/>
    <col min="3093" max="3093" width="19.6640625" style="1123" customWidth="1"/>
    <col min="3094" max="3094" width="20.5546875" style="1123" customWidth="1"/>
    <col min="3095" max="3095" width="18.33203125" style="1123" customWidth="1"/>
    <col min="3096" max="3096" width="18" style="1123" customWidth="1"/>
    <col min="3097" max="3328" width="9.109375" style="1123"/>
    <col min="3329" max="3329" width="13.77734375" style="1123" customWidth="1"/>
    <col min="3330" max="3330" width="11.109375" style="1123" customWidth="1"/>
    <col min="3331" max="3331" width="9.77734375" style="1123" customWidth="1"/>
    <col min="3332" max="3332" width="52.109375" style="1123" customWidth="1"/>
    <col min="3333" max="3333" width="20.6640625" style="1123" customWidth="1"/>
    <col min="3334" max="3334" width="19.44140625" style="1123" customWidth="1"/>
    <col min="3335" max="3335" width="19" style="1123" customWidth="1"/>
    <col min="3336" max="3336" width="16" style="1123" customWidth="1"/>
    <col min="3337" max="3337" width="17.77734375" style="1123" customWidth="1"/>
    <col min="3338" max="3338" width="17.44140625" style="1123" customWidth="1"/>
    <col min="3339" max="3339" width="0" style="1123" hidden="1" customWidth="1"/>
    <col min="3340" max="3340" width="17.109375" style="1123" customWidth="1"/>
    <col min="3341" max="3341" width="17.88671875" style="1123" customWidth="1"/>
    <col min="3342" max="3342" width="17" style="1123" customWidth="1"/>
    <col min="3343" max="3343" width="16.88671875" style="1123" customWidth="1"/>
    <col min="3344" max="3344" width="16" style="1123" customWidth="1"/>
    <col min="3345" max="3345" width="14.21875" style="1123" customWidth="1"/>
    <col min="3346" max="3346" width="15.6640625" style="1123" customWidth="1"/>
    <col min="3347" max="3347" width="15.88671875" style="1123" customWidth="1"/>
    <col min="3348" max="3348" width="16.88671875" style="1123" customWidth="1"/>
    <col min="3349" max="3349" width="19.6640625" style="1123" customWidth="1"/>
    <col min="3350" max="3350" width="20.5546875" style="1123" customWidth="1"/>
    <col min="3351" max="3351" width="18.33203125" style="1123" customWidth="1"/>
    <col min="3352" max="3352" width="18" style="1123" customWidth="1"/>
    <col min="3353" max="3584" width="9.109375" style="1123"/>
    <col min="3585" max="3585" width="13.77734375" style="1123" customWidth="1"/>
    <col min="3586" max="3586" width="11.109375" style="1123" customWidth="1"/>
    <col min="3587" max="3587" width="9.77734375" style="1123" customWidth="1"/>
    <col min="3588" max="3588" width="52.109375" style="1123" customWidth="1"/>
    <col min="3589" max="3589" width="20.6640625" style="1123" customWidth="1"/>
    <col min="3590" max="3590" width="19.44140625" style="1123" customWidth="1"/>
    <col min="3591" max="3591" width="19" style="1123" customWidth="1"/>
    <col min="3592" max="3592" width="16" style="1123" customWidth="1"/>
    <col min="3593" max="3593" width="17.77734375" style="1123" customWidth="1"/>
    <col min="3594" max="3594" width="17.44140625" style="1123" customWidth="1"/>
    <col min="3595" max="3595" width="0" style="1123" hidden="1" customWidth="1"/>
    <col min="3596" max="3596" width="17.109375" style="1123" customWidth="1"/>
    <col min="3597" max="3597" width="17.88671875" style="1123" customWidth="1"/>
    <col min="3598" max="3598" width="17" style="1123" customWidth="1"/>
    <col min="3599" max="3599" width="16.88671875" style="1123" customWidth="1"/>
    <col min="3600" max="3600" width="16" style="1123" customWidth="1"/>
    <col min="3601" max="3601" width="14.21875" style="1123" customWidth="1"/>
    <col min="3602" max="3602" width="15.6640625" style="1123" customWidth="1"/>
    <col min="3603" max="3603" width="15.88671875" style="1123" customWidth="1"/>
    <col min="3604" max="3604" width="16.88671875" style="1123" customWidth="1"/>
    <col min="3605" max="3605" width="19.6640625" style="1123" customWidth="1"/>
    <col min="3606" max="3606" width="20.5546875" style="1123" customWidth="1"/>
    <col min="3607" max="3607" width="18.33203125" style="1123" customWidth="1"/>
    <col min="3608" max="3608" width="18" style="1123" customWidth="1"/>
    <col min="3609" max="3840" width="9.109375" style="1123"/>
    <col min="3841" max="3841" width="13.77734375" style="1123" customWidth="1"/>
    <col min="3842" max="3842" width="11.109375" style="1123" customWidth="1"/>
    <col min="3843" max="3843" width="9.77734375" style="1123" customWidth="1"/>
    <col min="3844" max="3844" width="52.109375" style="1123" customWidth="1"/>
    <col min="3845" max="3845" width="20.6640625" style="1123" customWidth="1"/>
    <col min="3846" max="3846" width="19.44140625" style="1123" customWidth="1"/>
    <col min="3847" max="3847" width="19" style="1123" customWidth="1"/>
    <col min="3848" max="3848" width="16" style="1123" customWidth="1"/>
    <col min="3849" max="3849" width="17.77734375" style="1123" customWidth="1"/>
    <col min="3850" max="3850" width="17.44140625" style="1123" customWidth="1"/>
    <col min="3851" max="3851" width="0" style="1123" hidden="1" customWidth="1"/>
    <col min="3852" max="3852" width="17.109375" style="1123" customWidth="1"/>
    <col min="3853" max="3853" width="17.88671875" style="1123" customWidth="1"/>
    <col min="3854" max="3854" width="17" style="1123" customWidth="1"/>
    <col min="3855" max="3855" width="16.88671875" style="1123" customWidth="1"/>
    <col min="3856" max="3856" width="16" style="1123" customWidth="1"/>
    <col min="3857" max="3857" width="14.21875" style="1123" customWidth="1"/>
    <col min="3858" max="3858" width="15.6640625" style="1123" customWidth="1"/>
    <col min="3859" max="3859" width="15.88671875" style="1123" customWidth="1"/>
    <col min="3860" max="3860" width="16.88671875" style="1123" customWidth="1"/>
    <col min="3861" max="3861" width="19.6640625" style="1123" customWidth="1"/>
    <col min="3862" max="3862" width="20.5546875" style="1123" customWidth="1"/>
    <col min="3863" max="3863" width="18.33203125" style="1123" customWidth="1"/>
    <col min="3864" max="3864" width="18" style="1123" customWidth="1"/>
    <col min="3865" max="4096" width="9.109375" style="1123"/>
    <col min="4097" max="4097" width="13.77734375" style="1123" customWidth="1"/>
    <col min="4098" max="4098" width="11.109375" style="1123" customWidth="1"/>
    <col min="4099" max="4099" width="9.77734375" style="1123" customWidth="1"/>
    <col min="4100" max="4100" width="52.109375" style="1123" customWidth="1"/>
    <col min="4101" max="4101" width="20.6640625" style="1123" customWidth="1"/>
    <col min="4102" max="4102" width="19.44140625" style="1123" customWidth="1"/>
    <col min="4103" max="4103" width="19" style="1123" customWidth="1"/>
    <col min="4104" max="4104" width="16" style="1123" customWidth="1"/>
    <col min="4105" max="4105" width="17.77734375" style="1123" customWidth="1"/>
    <col min="4106" max="4106" width="17.44140625" style="1123" customWidth="1"/>
    <col min="4107" max="4107" width="0" style="1123" hidden="1" customWidth="1"/>
    <col min="4108" max="4108" width="17.109375" style="1123" customWidth="1"/>
    <col min="4109" max="4109" width="17.88671875" style="1123" customWidth="1"/>
    <col min="4110" max="4110" width="17" style="1123" customWidth="1"/>
    <col min="4111" max="4111" width="16.88671875" style="1123" customWidth="1"/>
    <col min="4112" max="4112" width="16" style="1123" customWidth="1"/>
    <col min="4113" max="4113" width="14.21875" style="1123" customWidth="1"/>
    <col min="4114" max="4114" width="15.6640625" style="1123" customWidth="1"/>
    <col min="4115" max="4115" width="15.88671875" style="1123" customWidth="1"/>
    <col min="4116" max="4116" width="16.88671875" style="1123" customWidth="1"/>
    <col min="4117" max="4117" width="19.6640625" style="1123" customWidth="1"/>
    <col min="4118" max="4118" width="20.5546875" style="1123" customWidth="1"/>
    <col min="4119" max="4119" width="18.33203125" style="1123" customWidth="1"/>
    <col min="4120" max="4120" width="18" style="1123" customWidth="1"/>
    <col min="4121" max="4352" width="9.109375" style="1123"/>
    <col min="4353" max="4353" width="13.77734375" style="1123" customWidth="1"/>
    <col min="4354" max="4354" width="11.109375" style="1123" customWidth="1"/>
    <col min="4355" max="4355" width="9.77734375" style="1123" customWidth="1"/>
    <col min="4356" max="4356" width="52.109375" style="1123" customWidth="1"/>
    <col min="4357" max="4357" width="20.6640625" style="1123" customWidth="1"/>
    <col min="4358" max="4358" width="19.44140625" style="1123" customWidth="1"/>
    <col min="4359" max="4359" width="19" style="1123" customWidth="1"/>
    <col min="4360" max="4360" width="16" style="1123" customWidth="1"/>
    <col min="4361" max="4361" width="17.77734375" style="1123" customWidth="1"/>
    <col min="4362" max="4362" width="17.44140625" style="1123" customWidth="1"/>
    <col min="4363" max="4363" width="0" style="1123" hidden="1" customWidth="1"/>
    <col min="4364" max="4364" width="17.109375" style="1123" customWidth="1"/>
    <col min="4365" max="4365" width="17.88671875" style="1123" customWidth="1"/>
    <col min="4366" max="4366" width="17" style="1123" customWidth="1"/>
    <col min="4367" max="4367" width="16.88671875" style="1123" customWidth="1"/>
    <col min="4368" max="4368" width="16" style="1123" customWidth="1"/>
    <col min="4369" max="4369" width="14.21875" style="1123" customWidth="1"/>
    <col min="4370" max="4370" width="15.6640625" style="1123" customWidth="1"/>
    <col min="4371" max="4371" width="15.88671875" style="1123" customWidth="1"/>
    <col min="4372" max="4372" width="16.88671875" style="1123" customWidth="1"/>
    <col min="4373" max="4373" width="19.6640625" style="1123" customWidth="1"/>
    <col min="4374" max="4374" width="20.5546875" style="1123" customWidth="1"/>
    <col min="4375" max="4375" width="18.33203125" style="1123" customWidth="1"/>
    <col min="4376" max="4376" width="18" style="1123" customWidth="1"/>
    <col min="4377" max="4608" width="9.109375" style="1123"/>
    <col min="4609" max="4609" width="13.77734375" style="1123" customWidth="1"/>
    <col min="4610" max="4610" width="11.109375" style="1123" customWidth="1"/>
    <col min="4611" max="4611" width="9.77734375" style="1123" customWidth="1"/>
    <col min="4612" max="4612" width="52.109375" style="1123" customWidth="1"/>
    <col min="4613" max="4613" width="20.6640625" style="1123" customWidth="1"/>
    <col min="4614" max="4614" width="19.44140625" style="1123" customWidth="1"/>
    <col min="4615" max="4615" width="19" style="1123" customWidth="1"/>
    <col min="4616" max="4616" width="16" style="1123" customWidth="1"/>
    <col min="4617" max="4617" width="17.77734375" style="1123" customWidth="1"/>
    <col min="4618" max="4618" width="17.44140625" style="1123" customWidth="1"/>
    <col min="4619" max="4619" width="0" style="1123" hidden="1" customWidth="1"/>
    <col min="4620" max="4620" width="17.109375" style="1123" customWidth="1"/>
    <col min="4621" max="4621" width="17.88671875" style="1123" customWidth="1"/>
    <col min="4622" max="4622" width="17" style="1123" customWidth="1"/>
    <col min="4623" max="4623" width="16.88671875" style="1123" customWidth="1"/>
    <col min="4624" max="4624" width="16" style="1123" customWidth="1"/>
    <col min="4625" max="4625" width="14.21875" style="1123" customWidth="1"/>
    <col min="4626" max="4626" width="15.6640625" style="1123" customWidth="1"/>
    <col min="4627" max="4627" width="15.88671875" style="1123" customWidth="1"/>
    <col min="4628" max="4628" width="16.88671875" style="1123" customWidth="1"/>
    <col min="4629" max="4629" width="19.6640625" style="1123" customWidth="1"/>
    <col min="4630" max="4630" width="20.5546875" style="1123" customWidth="1"/>
    <col min="4631" max="4631" width="18.33203125" style="1123" customWidth="1"/>
    <col min="4632" max="4632" width="18" style="1123" customWidth="1"/>
    <col min="4633" max="4864" width="9.109375" style="1123"/>
    <col min="4865" max="4865" width="13.77734375" style="1123" customWidth="1"/>
    <col min="4866" max="4866" width="11.109375" style="1123" customWidth="1"/>
    <col min="4867" max="4867" width="9.77734375" style="1123" customWidth="1"/>
    <col min="4868" max="4868" width="52.109375" style="1123" customWidth="1"/>
    <col min="4869" max="4869" width="20.6640625" style="1123" customWidth="1"/>
    <col min="4870" max="4870" width="19.44140625" style="1123" customWidth="1"/>
    <col min="4871" max="4871" width="19" style="1123" customWidth="1"/>
    <col min="4872" max="4872" width="16" style="1123" customWidth="1"/>
    <col min="4873" max="4873" width="17.77734375" style="1123" customWidth="1"/>
    <col min="4874" max="4874" width="17.44140625" style="1123" customWidth="1"/>
    <col min="4875" max="4875" width="0" style="1123" hidden="1" customWidth="1"/>
    <col min="4876" max="4876" width="17.109375" style="1123" customWidth="1"/>
    <col min="4877" max="4877" width="17.88671875" style="1123" customWidth="1"/>
    <col min="4878" max="4878" width="17" style="1123" customWidth="1"/>
    <col min="4879" max="4879" width="16.88671875" style="1123" customWidth="1"/>
    <col min="4880" max="4880" width="16" style="1123" customWidth="1"/>
    <col min="4881" max="4881" width="14.21875" style="1123" customWidth="1"/>
    <col min="4882" max="4882" width="15.6640625" style="1123" customWidth="1"/>
    <col min="4883" max="4883" width="15.88671875" style="1123" customWidth="1"/>
    <col min="4884" max="4884" width="16.88671875" style="1123" customWidth="1"/>
    <col min="4885" max="4885" width="19.6640625" style="1123" customWidth="1"/>
    <col min="4886" max="4886" width="20.5546875" style="1123" customWidth="1"/>
    <col min="4887" max="4887" width="18.33203125" style="1123" customWidth="1"/>
    <col min="4888" max="4888" width="18" style="1123" customWidth="1"/>
    <col min="4889" max="5120" width="9.109375" style="1123"/>
    <col min="5121" max="5121" width="13.77734375" style="1123" customWidth="1"/>
    <col min="5122" max="5122" width="11.109375" style="1123" customWidth="1"/>
    <col min="5123" max="5123" width="9.77734375" style="1123" customWidth="1"/>
    <col min="5124" max="5124" width="52.109375" style="1123" customWidth="1"/>
    <col min="5125" max="5125" width="20.6640625" style="1123" customWidth="1"/>
    <col min="5126" max="5126" width="19.44140625" style="1123" customWidth="1"/>
    <col min="5127" max="5127" width="19" style="1123" customWidth="1"/>
    <col min="5128" max="5128" width="16" style="1123" customWidth="1"/>
    <col min="5129" max="5129" width="17.77734375" style="1123" customWidth="1"/>
    <col min="5130" max="5130" width="17.44140625" style="1123" customWidth="1"/>
    <col min="5131" max="5131" width="0" style="1123" hidden="1" customWidth="1"/>
    <col min="5132" max="5132" width="17.109375" style="1123" customWidth="1"/>
    <col min="5133" max="5133" width="17.88671875" style="1123" customWidth="1"/>
    <col min="5134" max="5134" width="17" style="1123" customWidth="1"/>
    <col min="5135" max="5135" width="16.88671875" style="1123" customWidth="1"/>
    <col min="5136" max="5136" width="16" style="1123" customWidth="1"/>
    <col min="5137" max="5137" width="14.21875" style="1123" customWidth="1"/>
    <col min="5138" max="5138" width="15.6640625" style="1123" customWidth="1"/>
    <col min="5139" max="5139" width="15.88671875" style="1123" customWidth="1"/>
    <col min="5140" max="5140" width="16.88671875" style="1123" customWidth="1"/>
    <col min="5141" max="5141" width="19.6640625" style="1123" customWidth="1"/>
    <col min="5142" max="5142" width="20.5546875" style="1123" customWidth="1"/>
    <col min="5143" max="5143" width="18.33203125" style="1123" customWidth="1"/>
    <col min="5144" max="5144" width="18" style="1123" customWidth="1"/>
    <col min="5145" max="5376" width="9.109375" style="1123"/>
    <col min="5377" max="5377" width="13.77734375" style="1123" customWidth="1"/>
    <col min="5378" max="5378" width="11.109375" style="1123" customWidth="1"/>
    <col min="5379" max="5379" width="9.77734375" style="1123" customWidth="1"/>
    <col min="5380" max="5380" width="52.109375" style="1123" customWidth="1"/>
    <col min="5381" max="5381" width="20.6640625" style="1123" customWidth="1"/>
    <col min="5382" max="5382" width="19.44140625" style="1123" customWidth="1"/>
    <col min="5383" max="5383" width="19" style="1123" customWidth="1"/>
    <col min="5384" max="5384" width="16" style="1123" customWidth="1"/>
    <col min="5385" max="5385" width="17.77734375" style="1123" customWidth="1"/>
    <col min="5386" max="5386" width="17.44140625" style="1123" customWidth="1"/>
    <col min="5387" max="5387" width="0" style="1123" hidden="1" customWidth="1"/>
    <col min="5388" max="5388" width="17.109375" style="1123" customWidth="1"/>
    <col min="5389" max="5389" width="17.88671875" style="1123" customWidth="1"/>
    <col min="5390" max="5390" width="17" style="1123" customWidth="1"/>
    <col min="5391" max="5391" width="16.88671875" style="1123" customWidth="1"/>
    <col min="5392" max="5392" width="16" style="1123" customWidth="1"/>
    <col min="5393" max="5393" width="14.21875" style="1123" customWidth="1"/>
    <col min="5394" max="5394" width="15.6640625" style="1123" customWidth="1"/>
    <col min="5395" max="5395" width="15.88671875" style="1123" customWidth="1"/>
    <col min="5396" max="5396" width="16.88671875" style="1123" customWidth="1"/>
    <col min="5397" max="5397" width="19.6640625" style="1123" customWidth="1"/>
    <col min="5398" max="5398" width="20.5546875" style="1123" customWidth="1"/>
    <col min="5399" max="5399" width="18.33203125" style="1123" customWidth="1"/>
    <col min="5400" max="5400" width="18" style="1123" customWidth="1"/>
    <col min="5401" max="5632" width="9.109375" style="1123"/>
    <col min="5633" max="5633" width="13.77734375" style="1123" customWidth="1"/>
    <col min="5634" max="5634" width="11.109375" style="1123" customWidth="1"/>
    <col min="5635" max="5635" width="9.77734375" style="1123" customWidth="1"/>
    <col min="5636" max="5636" width="52.109375" style="1123" customWidth="1"/>
    <col min="5637" max="5637" width="20.6640625" style="1123" customWidth="1"/>
    <col min="5638" max="5638" width="19.44140625" style="1123" customWidth="1"/>
    <col min="5639" max="5639" width="19" style="1123" customWidth="1"/>
    <col min="5640" max="5640" width="16" style="1123" customWidth="1"/>
    <col min="5641" max="5641" width="17.77734375" style="1123" customWidth="1"/>
    <col min="5642" max="5642" width="17.44140625" style="1123" customWidth="1"/>
    <col min="5643" max="5643" width="0" style="1123" hidden="1" customWidth="1"/>
    <col min="5644" max="5644" width="17.109375" style="1123" customWidth="1"/>
    <col min="5645" max="5645" width="17.88671875" style="1123" customWidth="1"/>
    <col min="5646" max="5646" width="17" style="1123" customWidth="1"/>
    <col min="5647" max="5647" width="16.88671875" style="1123" customWidth="1"/>
    <col min="5648" max="5648" width="16" style="1123" customWidth="1"/>
    <col min="5649" max="5649" width="14.21875" style="1123" customWidth="1"/>
    <col min="5650" max="5650" width="15.6640625" style="1123" customWidth="1"/>
    <col min="5651" max="5651" width="15.88671875" style="1123" customWidth="1"/>
    <col min="5652" max="5652" width="16.88671875" style="1123" customWidth="1"/>
    <col min="5653" max="5653" width="19.6640625" style="1123" customWidth="1"/>
    <col min="5654" max="5654" width="20.5546875" style="1123" customWidth="1"/>
    <col min="5655" max="5655" width="18.33203125" style="1123" customWidth="1"/>
    <col min="5656" max="5656" width="18" style="1123" customWidth="1"/>
    <col min="5657" max="5888" width="9.109375" style="1123"/>
    <col min="5889" max="5889" width="13.77734375" style="1123" customWidth="1"/>
    <col min="5890" max="5890" width="11.109375" style="1123" customWidth="1"/>
    <col min="5891" max="5891" width="9.77734375" style="1123" customWidth="1"/>
    <col min="5892" max="5892" width="52.109375" style="1123" customWidth="1"/>
    <col min="5893" max="5893" width="20.6640625" style="1123" customWidth="1"/>
    <col min="5894" max="5894" width="19.44140625" style="1123" customWidth="1"/>
    <col min="5895" max="5895" width="19" style="1123" customWidth="1"/>
    <col min="5896" max="5896" width="16" style="1123" customWidth="1"/>
    <col min="5897" max="5897" width="17.77734375" style="1123" customWidth="1"/>
    <col min="5898" max="5898" width="17.44140625" style="1123" customWidth="1"/>
    <col min="5899" max="5899" width="0" style="1123" hidden="1" customWidth="1"/>
    <col min="5900" max="5900" width="17.109375" style="1123" customWidth="1"/>
    <col min="5901" max="5901" width="17.88671875" style="1123" customWidth="1"/>
    <col min="5902" max="5902" width="17" style="1123" customWidth="1"/>
    <col min="5903" max="5903" width="16.88671875" style="1123" customWidth="1"/>
    <col min="5904" max="5904" width="16" style="1123" customWidth="1"/>
    <col min="5905" max="5905" width="14.21875" style="1123" customWidth="1"/>
    <col min="5906" max="5906" width="15.6640625" style="1123" customWidth="1"/>
    <col min="5907" max="5907" width="15.88671875" style="1123" customWidth="1"/>
    <col min="5908" max="5908" width="16.88671875" style="1123" customWidth="1"/>
    <col min="5909" max="5909" width="19.6640625" style="1123" customWidth="1"/>
    <col min="5910" max="5910" width="20.5546875" style="1123" customWidth="1"/>
    <col min="5911" max="5911" width="18.33203125" style="1123" customWidth="1"/>
    <col min="5912" max="5912" width="18" style="1123" customWidth="1"/>
    <col min="5913" max="6144" width="9.109375" style="1123"/>
    <col min="6145" max="6145" width="13.77734375" style="1123" customWidth="1"/>
    <col min="6146" max="6146" width="11.109375" style="1123" customWidth="1"/>
    <col min="6147" max="6147" width="9.77734375" style="1123" customWidth="1"/>
    <col min="6148" max="6148" width="52.109375" style="1123" customWidth="1"/>
    <col min="6149" max="6149" width="20.6640625" style="1123" customWidth="1"/>
    <col min="6150" max="6150" width="19.44140625" style="1123" customWidth="1"/>
    <col min="6151" max="6151" width="19" style="1123" customWidth="1"/>
    <col min="6152" max="6152" width="16" style="1123" customWidth="1"/>
    <col min="6153" max="6153" width="17.77734375" style="1123" customWidth="1"/>
    <col min="6154" max="6154" width="17.44140625" style="1123" customWidth="1"/>
    <col min="6155" max="6155" width="0" style="1123" hidden="1" customWidth="1"/>
    <col min="6156" max="6156" width="17.109375" style="1123" customWidth="1"/>
    <col min="6157" max="6157" width="17.88671875" style="1123" customWidth="1"/>
    <col min="6158" max="6158" width="17" style="1123" customWidth="1"/>
    <col min="6159" max="6159" width="16.88671875" style="1123" customWidth="1"/>
    <col min="6160" max="6160" width="16" style="1123" customWidth="1"/>
    <col min="6161" max="6161" width="14.21875" style="1123" customWidth="1"/>
    <col min="6162" max="6162" width="15.6640625" style="1123" customWidth="1"/>
    <col min="6163" max="6163" width="15.88671875" style="1123" customWidth="1"/>
    <col min="6164" max="6164" width="16.88671875" style="1123" customWidth="1"/>
    <col min="6165" max="6165" width="19.6640625" style="1123" customWidth="1"/>
    <col min="6166" max="6166" width="20.5546875" style="1123" customWidth="1"/>
    <col min="6167" max="6167" width="18.33203125" style="1123" customWidth="1"/>
    <col min="6168" max="6168" width="18" style="1123" customWidth="1"/>
    <col min="6169" max="6400" width="9.109375" style="1123"/>
    <col min="6401" max="6401" width="13.77734375" style="1123" customWidth="1"/>
    <col min="6402" max="6402" width="11.109375" style="1123" customWidth="1"/>
    <col min="6403" max="6403" width="9.77734375" style="1123" customWidth="1"/>
    <col min="6404" max="6404" width="52.109375" style="1123" customWidth="1"/>
    <col min="6405" max="6405" width="20.6640625" style="1123" customWidth="1"/>
    <col min="6406" max="6406" width="19.44140625" style="1123" customWidth="1"/>
    <col min="6407" max="6407" width="19" style="1123" customWidth="1"/>
    <col min="6408" max="6408" width="16" style="1123" customWidth="1"/>
    <col min="6409" max="6409" width="17.77734375" style="1123" customWidth="1"/>
    <col min="6410" max="6410" width="17.44140625" style="1123" customWidth="1"/>
    <col min="6411" max="6411" width="0" style="1123" hidden="1" customWidth="1"/>
    <col min="6412" max="6412" width="17.109375" style="1123" customWidth="1"/>
    <col min="6413" max="6413" width="17.88671875" style="1123" customWidth="1"/>
    <col min="6414" max="6414" width="17" style="1123" customWidth="1"/>
    <col min="6415" max="6415" width="16.88671875" style="1123" customWidth="1"/>
    <col min="6416" max="6416" width="16" style="1123" customWidth="1"/>
    <col min="6417" max="6417" width="14.21875" style="1123" customWidth="1"/>
    <col min="6418" max="6418" width="15.6640625" style="1123" customWidth="1"/>
    <col min="6419" max="6419" width="15.88671875" style="1123" customWidth="1"/>
    <col min="6420" max="6420" width="16.88671875" style="1123" customWidth="1"/>
    <col min="6421" max="6421" width="19.6640625" style="1123" customWidth="1"/>
    <col min="6422" max="6422" width="20.5546875" style="1123" customWidth="1"/>
    <col min="6423" max="6423" width="18.33203125" style="1123" customWidth="1"/>
    <col min="6424" max="6424" width="18" style="1123" customWidth="1"/>
    <col min="6425" max="6656" width="9.109375" style="1123"/>
    <col min="6657" max="6657" width="13.77734375" style="1123" customWidth="1"/>
    <col min="6658" max="6658" width="11.109375" style="1123" customWidth="1"/>
    <col min="6659" max="6659" width="9.77734375" style="1123" customWidth="1"/>
    <col min="6660" max="6660" width="52.109375" style="1123" customWidth="1"/>
    <col min="6661" max="6661" width="20.6640625" style="1123" customWidth="1"/>
    <col min="6662" max="6662" width="19.44140625" style="1123" customWidth="1"/>
    <col min="6663" max="6663" width="19" style="1123" customWidth="1"/>
    <col min="6664" max="6664" width="16" style="1123" customWidth="1"/>
    <col min="6665" max="6665" width="17.77734375" style="1123" customWidth="1"/>
    <col min="6666" max="6666" width="17.44140625" style="1123" customWidth="1"/>
    <col min="6667" max="6667" width="0" style="1123" hidden="1" customWidth="1"/>
    <col min="6668" max="6668" width="17.109375" style="1123" customWidth="1"/>
    <col min="6669" max="6669" width="17.88671875" style="1123" customWidth="1"/>
    <col min="6670" max="6670" width="17" style="1123" customWidth="1"/>
    <col min="6671" max="6671" width="16.88671875" style="1123" customWidth="1"/>
    <col min="6672" max="6672" width="16" style="1123" customWidth="1"/>
    <col min="6673" max="6673" width="14.21875" style="1123" customWidth="1"/>
    <col min="6674" max="6674" width="15.6640625" style="1123" customWidth="1"/>
    <col min="6675" max="6675" width="15.88671875" style="1123" customWidth="1"/>
    <col min="6676" max="6676" width="16.88671875" style="1123" customWidth="1"/>
    <col min="6677" max="6677" width="19.6640625" style="1123" customWidth="1"/>
    <col min="6678" max="6678" width="20.5546875" style="1123" customWidth="1"/>
    <col min="6679" max="6679" width="18.33203125" style="1123" customWidth="1"/>
    <col min="6680" max="6680" width="18" style="1123" customWidth="1"/>
    <col min="6681" max="6912" width="9.109375" style="1123"/>
    <col min="6913" max="6913" width="13.77734375" style="1123" customWidth="1"/>
    <col min="6914" max="6914" width="11.109375" style="1123" customWidth="1"/>
    <col min="6915" max="6915" width="9.77734375" style="1123" customWidth="1"/>
    <col min="6916" max="6916" width="52.109375" style="1123" customWidth="1"/>
    <col min="6917" max="6917" width="20.6640625" style="1123" customWidth="1"/>
    <col min="6918" max="6918" width="19.44140625" style="1123" customWidth="1"/>
    <col min="6919" max="6919" width="19" style="1123" customWidth="1"/>
    <col min="6920" max="6920" width="16" style="1123" customWidth="1"/>
    <col min="6921" max="6921" width="17.77734375" style="1123" customWidth="1"/>
    <col min="6922" max="6922" width="17.44140625" style="1123" customWidth="1"/>
    <col min="6923" max="6923" width="0" style="1123" hidden="1" customWidth="1"/>
    <col min="6924" max="6924" width="17.109375" style="1123" customWidth="1"/>
    <col min="6925" max="6925" width="17.88671875" style="1123" customWidth="1"/>
    <col min="6926" max="6926" width="17" style="1123" customWidth="1"/>
    <col min="6927" max="6927" width="16.88671875" style="1123" customWidth="1"/>
    <col min="6928" max="6928" width="16" style="1123" customWidth="1"/>
    <col min="6929" max="6929" width="14.21875" style="1123" customWidth="1"/>
    <col min="6930" max="6930" width="15.6640625" style="1123" customWidth="1"/>
    <col min="6931" max="6931" width="15.88671875" style="1123" customWidth="1"/>
    <col min="6932" max="6932" width="16.88671875" style="1123" customWidth="1"/>
    <col min="6933" max="6933" width="19.6640625" style="1123" customWidth="1"/>
    <col min="6934" max="6934" width="20.5546875" style="1123" customWidth="1"/>
    <col min="6935" max="6935" width="18.33203125" style="1123" customWidth="1"/>
    <col min="6936" max="6936" width="18" style="1123" customWidth="1"/>
    <col min="6937" max="7168" width="9.109375" style="1123"/>
    <col min="7169" max="7169" width="13.77734375" style="1123" customWidth="1"/>
    <col min="7170" max="7170" width="11.109375" style="1123" customWidth="1"/>
    <col min="7171" max="7171" width="9.77734375" style="1123" customWidth="1"/>
    <col min="7172" max="7172" width="52.109375" style="1123" customWidth="1"/>
    <col min="7173" max="7173" width="20.6640625" style="1123" customWidth="1"/>
    <col min="7174" max="7174" width="19.44140625" style="1123" customWidth="1"/>
    <col min="7175" max="7175" width="19" style="1123" customWidth="1"/>
    <col min="7176" max="7176" width="16" style="1123" customWidth="1"/>
    <col min="7177" max="7177" width="17.77734375" style="1123" customWidth="1"/>
    <col min="7178" max="7178" width="17.44140625" style="1123" customWidth="1"/>
    <col min="7179" max="7179" width="0" style="1123" hidden="1" customWidth="1"/>
    <col min="7180" max="7180" width="17.109375" style="1123" customWidth="1"/>
    <col min="7181" max="7181" width="17.88671875" style="1123" customWidth="1"/>
    <col min="7182" max="7182" width="17" style="1123" customWidth="1"/>
    <col min="7183" max="7183" width="16.88671875" style="1123" customWidth="1"/>
    <col min="7184" max="7184" width="16" style="1123" customWidth="1"/>
    <col min="7185" max="7185" width="14.21875" style="1123" customWidth="1"/>
    <col min="7186" max="7186" width="15.6640625" style="1123" customWidth="1"/>
    <col min="7187" max="7187" width="15.88671875" style="1123" customWidth="1"/>
    <col min="7188" max="7188" width="16.88671875" style="1123" customWidth="1"/>
    <col min="7189" max="7189" width="19.6640625" style="1123" customWidth="1"/>
    <col min="7190" max="7190" width="20.5546875" style="1123" customWidth="1"/>
    <col min="7191" max="7191" width="18.33203125" style="1123" customWidth="1"/>
    <col min="7192" max="7192" width="18" style="1123" customWidth="1"/>
    <col min="7193" max="7424" width="9.109375" style="1123"/>
    <col min="7425" max="7425" width="13.77734375" style="1123" customWidth="1"/>
    <col min="7426" max="7426" width="11.109375" style="1123" customWidth="1"/>
    <col min="7427" max="7427" width="9.77734375" style="1123" customWidth="1"/>
    <col min="7428" max="7428" width="52.109375" style="1123" customWidth="1"/>
    <col min="7429" max="7429" width="20.6640625" style="1123" customWidth="1"/>
    <col min="7430" max="7430" width="19.44140625" style="1123" customWidth="1"/>
    <col min="7431" max="7431" width="19" style="1123" customWidth="1"/>
    <col min="7432" max="7432" width="16" style="1123" customWidth="1"/>
    <col min="7433" max="7433" width="17.77734375" style="1123" customWidth="1"/>
    <col min="7434" max="7434" width="17.44140625" style="1123" customWidth="1"/>
    <col min="7435" max="7435" width="0" style="1123" hidden="1" customWidth="1"/>
    <col min="7436" max="7436" width="17.109375" style="1123" customWidth="1"/>
    <col min="7437" max="7437" width="17.88671875" style="1123" customWidth="1"/>
    <col min="7438" max="7438" width="17" style="1123" customWidth="1"/>
    <col min="7439" max="7439" width="16.88671875" style="1123" customWidth="1"/>
    <col min="7440" max="7440" width="16" style="1123" customWidth="1"/>
    <col min="7441" max="7441" width="14.21875" style="1123" customWidth="1"/>
    <col min="7442" max="7442" width="15.6640625" style="1123" customWidth="1"/>
    <col min="7443" max="7443" width="15.88671875" style="1123" customWidth="1"/>
    <col min="7444" max="7444" width="16.88671875" style="1123" customWidth="1"/>
    <col min="7445" max="7445" width="19.6640625" style="1123" customWidth="1"/>
    <col min="7446" max="7446" width="20.5546875" style="1123" customWidth="1"/>
    <col min="7447" max="7447" width="18.33203125" style="1123" customWidth="1"/>
    <col min="7448" max="7448" width="18" style="1123" customWidth="1"/>
    <col min="7449" max="7680" width="9.109375" style="1123"/>
    <col min="7681" max="7681" width="13.77734375" style="1123" customWidth="1"/>
    <col min="7682" max="7682" width="11.109375" style="1123" customWidth="1"/>
    <col min="7683" max="7683" width="9.77734375" style="1123" customWidth="1"/>
    <col min="7684" max="7684" width="52.109375" style="1123" customWidth="1"/>
    <col min="7685" max="7685" width="20.6640625" style="1123" customWidth="1"/>
    <col min="7686" max="7686" width="19.44140625" style="1123" customWidth="1"/>
    <col min="7687" max="7687" width="19" style="1123" customWidth="1"/>
    <col min="7688" max="7688" width="16" style="1123" customWidth="1"/>
    <col min="7689" max="7689" width="17.77734375" style="1123" customWidth="1"/>
    <col min="7690" max="7690" width="17.44140625" style="1123" customWidth="1"/>
    <col min="7691" max="7691" width="0" style="1123" hidden="1" customWidth="1"/>
    <col min="7692" max="7692" width="17.109375" style="1123" customWidth="1"/>
    <col min="7693" max="7693" width="17.88671875" style="1123" customWidth="1"/>
    <col min="7694" max="7694" width="17" style="1123" customWidth="1"/>
    <col min="7695" max="7695" width="16.88671875" style="1123" customWidth="1"/>
    <col min="7696" max="7696" width="16" style="1123" customWidth="1"/>
    <col min="7697" max="7697" width="14.21875" style="1123" customWidth="1"/>
    <col min="7698" max="7698" width="15.6640625" style="1123" customWidth="1"/>
    <col min="7699" max="7699" width="15.88671875" style="1123" customWidth="1"/>
    <col min="7700" max="7700" width="16.88671875" style="1123" customWidth="1"/>
    <col min="7701" max="7701" width="19.6640625" style="1123" customWidth="1"/>
    <col min="7702" max="7702" width="20.5546875" style="1123" customWidth="1"/>
    <col min="7703" max="7703" width="18.33203125" style="1123" customWidth="1"/>
    <col min="7704" max="7704" width="18" style="1123" customWidth="1"/>
    <col min="7705" max="7936" width="9.109375" style="1123"/>
    <col min="7937" max="7937" width="13.77734375" style="1123" customWidth="1"/>
    <col min="7938" max="7938" width="11.109375" style="1123" customWidth="1"/>
    <col min="7939" max="7939" width="9.77734375" style="1123" customWidth="1"/>
    <col min="7940" max="7940" width="52.109375" style="1123" customWidth="1"/>
    <col min="7941" max="7941" width="20.6640625" style="1123" customWidth="1"/>
    <col min="7942" max="7942" width="19.44140625" style="1123" customWidth="1"/>
    <col min="7943" max="7943" width="19" style="1123" customWidth="1"/>
    <col min="7944" max="7944" width="16" style="1123" customWidth="1"/>
    <col min="7945" max="7945" width="17.77734375" style="1123" customWidth="1"/>
    <col min="7946" max="7946" width="17.44140625" style="1123" customWidth="1"/>
    <col min="7947" max="7947" width="0" style="1123" hidden="1" customWidth="1"/>
    <col min="7948" max="7948" width="17.109375" style="1123" customWidth="1"/>
    <col min="7949" max="7949" width="17.88671875" style="1123" customWidth="1"/>
    <col min="7950" max="7950" width="17" style="1123" customWidth="1"/>
    <col min="7951" max="7951" width="16.88671875" style="1123" customWidth="1"/>
    <col min="7952" max="7952" width="16" style="1123" customWidth="1"/>
    <col min="7953" max="7953" width="14.21875" style="1123" customWidth="1"/>
    <col min="7954" max="7954" width="15.6640625" style="1123" customWidth="1"/>
    <col min="7955" max="7955" width="15.88671875" style="1123" customWidth="1"/>
    <col min="7956" max="7956" width="16.88671875" style="1123" customWidth="1"/>
    <col min="7957" max="7957" width="19.6640625" style="1123" customWidth="1"/>
    <col min="7958" max="7958" width="20.5546875" style="1123" customWidth="1"/>
    <col min="7959" max="7959" width="18.33203125" style="1123" customWidth="1"/>
    <col min="7960" max="7960" width="18" style="1123" customWidth="1"/>
    <col min="7961" max="8192" width="9.109375" style="1123"/>
    <col min="8193" max="8193" width="13.77734375" style="1123" customWidth="1"/>
    <col min="8194" max="8194" width="11.109375" style="1123" customWidth="1"/>
    <col min="8195" max="8195" width="9.77734375" style="1123" customWidth="1"/>
    <col min="8196" max="8196" width="52.109375" style="1123" customWidth="1"/>
    <col min="8197" max="8197" width="20.6640625" style="1123" customWidth="1"/>
    <col min="8198" max="8198" width="19.44140625" style="1123" customWidth="1"/>
    <col min="8199" max="8199" width="19" style="1123" customWidth="1"/>
    <col min="8200" max="8200" width="16" style="1123" customWidth="1"/>
    <col min="8201" max="8201" width="17.77734375" style="1123" customWidth="1"/>
    <col min="8202" max="8202" width="17.44140625" style="1123" customWidth="1"/>
    <col min="8203" max="8203" width="0" style="1123" hidden="1" customWidth="1"/>
    <col min="8204" max="8204" width="17.109375" style="1123" customWidth="1"/>
    <col min="8205" max="8205" width="17.88671875" style="1123" customWidth="1"/>
    <col min="8206" max="8206" width="17" style="1123" customWidth="1"/>
    <col min="8207" max="8207" width="16.88671875" style="1123" customWidth="1"/>
    <col min="8208" max="8208" width="16" style="1123" customWidth="1"/>
    <col min="8209" max="8209" width="14.21875" style="1123" customWidth="1"/>
    <col min="8210" max="8210" width="15.6640625" style="1123" customWidth="1"/>
    <col min="8211" max="8211" width="15.88671875" style="1123" customWidth="1"/>
    <col min="8212" max="8212" width="16.88671875" style="1123" customWidth="1"/>
    <col min="8213" max="8213" width="19.6640625" style="1123" customWidth="1"/>
    <col min="8214" max="8214" width="20.5546875" style="1123" customWidth="1"/>
    <col min="8215" max="8215" width="18.33203125" style="1123" customWidth="1"/>
    <col min="8216" max="8216" width="18" style="1123" customWidth="1"/>
    <col min="8217" max="8448" width="9.109375" style="1123"/>
    <col min="8449" max="8449" width="13.77734375" style="1123" customWidth="1"/>
    <col min="8450" max="8450" width="11.109375" style="1123" customWidth="1"/>
    <col min="8451" max="8451" width="9.77734375" style="1123" customWidth="1"/>
    <col min="8452" max="8452" width="52.109375" style="1123" customWidth="1"/>
    <col min="8453" max="8453" width="20.6640625" style="1123" customWidth="1"/>
    <col min="8454" max="8454" width="19.44140625" style="1123" customWidth="1"/>
    <col min="8455" max="8455" width="19" style="1123" customWidth="1"/>
    <col min="8456" max="8456" width="16" style="1123" customWidth="1"/>
    <col min="8457" max="8457" width="17.77734375" style="1123" customWidth="1"/>
    <col min="8458" max="8458" width="17.44140625" style="1123" customWidth="1"/>
    <col min="8459" max="8459" width="0" style="1123" hidden="1" customWidth="1"/>
    <col min="8460" max="8460" width="17.109375" style="1123" customWidth="1"/>
    <col min="8461" max="8461" width="17.88671875" style="1123" customWidth="1"/>
    <col min="8462" max="8462" width="17" style="1123" customWidth="1"/>
    <col min="8463" max="8463" width="16.88671875" style="1123" customWidth="1"/>
    <col min="8464" max="8464" width="16" style="1123" customWidth="1"/>
    <col min="8465" max="8465" width="14.21875" style="1123" customWidth="1"/>
    <col min="8466" max="8466" width="15.6640625" style="1123" customWidth="1"/>
    <col min="8467" max="8467" width="15.88671875" style="1123" customWidth="1"/>
    <col min="8468" max="8468" width="16.88671875" style="1123" customWidth="1"/>
    <col min="8469" max="8469" width="19.6640625" style="1123" customWidth="1"/>
    <col min="8470" max="8470" width="20.5546875" style="1123" customWidth="1"/>
    <col min="8471" max="8471" width="18.33203125" style="1123" customWidth="1"/>
    <col min="8472" max="8472" width="18" style="1123" customWidth="1"/>
    <col min="8473" max="8704" width="9.109375" style="1123"/>
    <col min="8705" max="8705" width="13.77734375" style="1123" customWidth="1"/>
    <col min="8706" max="8706" width="11.109375" style="1123" customWidth="1"/>
    <col min="8707" max="8707" width="9.77734375" style="1123" customWidth="1"/>
    <col min="8708" max="8708" width="52.109375" style="1123" customWidth="1"/>
    <col min="8709" max="8709" width="20.6640625" style="1123" customWidth="1"/>
    <col min="8710" max="8710" width="19.44140625" style="1123" customWidth="1"/>
    <col min="8711" max="8711" width="19" style="1123" customWidth="1"/>
    <col min="8712" max="8712" width="16" style="1123" customWidth="1"/>
    <col min="8713" max="8713" width="17.77734375" style="1123" customWidth="1"/>
    <col min="8714" max="8714" width="17.44140625" style="1123" customWidth="1"/>
    <col min="8715" max="8715" width="0" style="1123" hidden="1" customWidth="1"/>
    <col min="8716" max="8716" width="17.109375" style="1123" customWidth="1"/>
    <col min="8717" max="8717" width="17.88671875" style="1123" customWidth="1"/>
    <col min="8718" max="8718" width="17" style="1123" customWidth="1"/>
    <col min="8719" max="8719" width="16.88671875" style="1123" customWidth="1"/>
    <col min="8720" max="8720" width="16" style="1123" customWidth="1"/>
    <col min="8721" max="8721" width="14.21875" style="1123" customWidth="1"/>
    <col min="8722" max="8722" width="15.6640625" style="1123" customWidth="1"/>
    <col min="8723" max="8723" width="15.88671875" style="1123" customWidth="1"/>
    <col min="8724" max="8724" width="16.88671875" style="1123" customWidth="1"/>
    <col min="8725" max="8725" width="19.6640625" style="1123" customWidth="1"/>
    <col min="8726" max="8726" width="20.5546875" style="1123" customWidth="1"/>
    <col min="8727" max="8727" width="18.33203125" style="1123" customWidth="1"/>
    <col min="8728" max="8728" width="18" style="1123" customWidth="1"/>
    <col min="8729" max="8960" width="9.109375" style="1123"/>
    <col min="8961" max="8961" width="13.77734375" style="1123" customWidth="1"/>
    <col min="8962" max="8962" width="11.109375" style="1123" customWidth="1"/>
    <col min="8963" max="8963" width="9.77734375" style="1123" customWidth="1"/>
    <col min="8964" max="8964" width="52.109375" style="1123" customWidth="1"/>
    <col min="8965" max="8965" width="20.6640625" style="1123" customWidth="1"/>
    <col min="8966" max="8966" width="19.44140625" style="1123" customWidth="1"/>
    <col min="8967" max="8967" width="19" style="1123" customWidth="1"/>
    <col min="8968" max="8968" width="16" style="1123" customWidth="1"/>
    <col min="8969" max="8969" width="17.77734375" style="1123" customWidth="1"/>
    <col min="8970" max="8970" width="17.44140625" style="1123" customWidth="1"/>
    <col min="8971" max="8971" width="0" style="1123" hidden="1" customWidth="1"/>
    <col min="8972" max="8972" width="17.109375" style="1123" customWidth="1"/>
    <col min="8973" max="8973" width="17.88671875" style="1123" customWidth="1"/>
    <col min="8974" max="8974" width="17" style="1123" customWidth="1"/>
    <col min="8975" max="8975" width="16.88671875" style="1123" customWidth="1"/>
    <col min="8976" max="8976" width="16" style="1123" customWidth="1"/>
    <col min="8977" max="8977" width="14.21875" style="1123" customWidth="1"/>
    <col min="8978" max="8978" width="15.6640625" style="1123" customWidth="1"/>
    <col min="8979" max="8979" width="15.88671875" style="1123" customWidth="1"/>
    <col min="8980" max="8980" width="16.88671875" style="1123" customWidth="1"/>
    <col min="8981" max="8981" width="19.6640625" style="1123" customWidth="1"/>
    <col min="8982" max="8982" width="20.5546875" style="1123" customWidth="1"/>
    <col min="8983" max="8983" width="18.33203125" style="1123" customWidth="1"/>
    <col min="8984" max="8984" width="18" style="1123" customWidth="1"/>
    <col min="8985" max="9216" width="9.109375" style="1123"/>
    <col min="9217" max="9217" width="13.77734375" style="1123" customWidth="1"/>
    <col min="9218" max="9218" width="11.109375" style="1123" customWidth="1"/>
    <col min="9219" max="9219" width="9.77734375" style="1123" customWidth="1"/>
    <col min="9220" max="9220" width="52.109375" style="1123" customWidth="1"/>
    <col min="9221" max="9221" width="20.6640625" style="1123" customWidth="1"/>
    <col min="9222" max="9222" width="19.44140625" style="1123" customWidth="1"/>
    <col min="9223" max="9223" width="19" style="1123" customWidth="1"/>
    <col min="9224" max="9224" width="16" style="1123" customWidth="1"/>
    <col min="9225" max="9225" width="17.77734375" style="1123" customWidth="1"/>
    <col min="9226" max="9226" width="17.44140625" style="1123" customWidth="1"/>
    <col min="9227" max="9227" width="0" style="1123" hidden="1" customWidth="1"/>
    <col min="9228" max="9228" width="17.109375" style="1123" customWidth="1"/>
    <col min="9229" max="9229" width="17.88671875" style="1123" customWidth="1"/>
    <col min="9230" max="9230" width="17" style="1123" customWidth="1"/>
    <col min="9231" max="9231" width="16.88671875" style="1123" customWidth="1"/>
    <col min="9232" max="9232" width="16" style="1123" customWidth="1"/>
    <col min="9233" max="9233" width="14.21875" style="1123" customWidth="1"/>
    <col min="9234" max="9234" width="15.6640625" style="1123" customWidth="1"/>
    <col min="9235" max="9235" width="15.88671875" style="1123" customWidth="1"/>
    <col min="9236" max="9236" width="16.88671875" style="1123" customWidth="1"/>
    <col min="9237" max="9237" width="19.6640625" style="1123" customWidth="1"/>
    <col min="9238" max="9238" width="20.5546875" style="1123" customWidth="1"/>
    <col min="9239" max="9239" width="18.33203125" style="1123" customWidth="1"/>
    <col min="9240" max="9240" width="18" style="1123" customWidth="1"/>
    <col min="9241" max="9472" width="9.109375" style="1123"/>
    <col min="9473" max="9473" width="13.77734375" style="1123" customWidth="1"/>
    <col min="9474" max="9474" width="11.109375" style="1123" customWidth="1"/>
    <col min="9475" max="9475" width="9.77734375" style="1123" customWidth="1"/>
    <col min="9476" max="9476" width="52.109375" style="1123" customWidth="1"/>
    <col min="9477" max="9477" width="20.6640625" style="1123" customWidth="1"/>
    <col min="9478" max="9478" width="19.44140625" style="1123" customWidth="1"/>
    <col min="9479" max="9479" width="19" style="1123" customWidth="1"/>
    <col min="9480" max="9480" width="16" style="1123" customWidth="1"/>
    <col min="9481" max="9481" width="17.77734375" style="1123" customWidth="1"/>
    <col min="9482" max="9482" width="17.44140625" style="1123" customWidth="1"/>
    <col min="9483" max="9483" width="0" style="1123" hidden="1" customWidth="1"/>
    <col min="9484" max="9484" width="17.109375" style="1123" customWidth="1"/>
    <col min="9485" max="9485" width="17.88671875" style="1123" customWidth="1"/>
    <col min="9486" max="9486" width="17" style="1123" customWidth="1"/>
    <col min="9487" max="9487" width="16.88671875" style="1123" customWidth="1"/>
    <col min="9488" max="9488" width="16" style="1123" customWidth="1"/>
    <col min="9489" max="9489" width="14.21875" style="1123" customWidth="1"/>
    <col min="9490" max="9490" width="15.6640625" style="1123" customWidth="1"/>
    <col min="9491" max="9491" width="15.88671875" style="1123" customWidth="1"/>
    <col min="9492" max="9492" width="16.88671875" style="1123" customWidth="1"/>
    <col min="9493" max="9493" width="19.6640625" style="1123" customWidth="1"/>
    <col min="9494" max="9494" width="20.5546875" style="1123" customWidth="1"/>
    <col min="9495" max="9495" width="18.33203125" style="1123" customWidth="1"/>
    <col min="9496" max="9496" width="18" style="1123" customWidth="1"/>
    <col min="9497" max="9728" width="9.109375" style="1123"/>
    <col min="9729" max="9729" width="13.77734375" style="1123" customWidth="1"/>
    <col min="9730" max="9730" width="11.109375" style="1123" customWidth="1"/>
    <col min="9731" max="9731" width="9.77734375" style="1123" customWidth="1"/>
    <col min="9732" max="9732" width="52.109375" style="1123" customWidth="1"/>
    <col min="9733" max="9733" width="20.6640625" style="1123" customWidth="1"/>
    <col min="9734" max="9734" width="19.44140625" style="1123" customWidth="1"/>
    <col min="9735" max="9735" width="19" style="1123" customWidth="1"/>
    <col min="9736" max="9736" width="16" style="1123" customWidth="1"/>
    <col min="9737" max="9737" width="17.77734375" style="1123" customWidth="1"/>
    <col min="9738" max="9738" width="17.44140625" style="1123" customWidth="1"/>
    <col min="9739" max="9739" width="0" style="1123" hidden="1" customWidth="1"/>
    <col min="9740" max="9740" width="17.109375" style="1123" customWidth="1"/>
    <col min="9741" max="9741" width="17.88671875" style="1123" customWidth="1"/>
    <col min="9742" max="9742" width="17" style="1123" customWidth="1"/>
    <col min="9743" max="9743" width="16.88671875" style="1123" customWidth="1"/>
    <col min="9744" max="9744" width="16" style="1123" customWidth="1"/>
    <col min="9745" max="9745" width="14.21875" style="1123" customWidth="1"/>
    <col min="9746" max="9746" width="15.6640625" style="1123" customWidth="1"/>
    <col min="9747" max="9747" width="15.88671875" style="1123" customWidth="1"/>
    <col min="9748" max="9748" width="16.88671875" style="1123" customWidth="1"/>
    <col min="9749" max="9749" width="19.6640625" style="1123" customWidth="1"/>
    <col min="9750" max="9750" width="20.5546875" style="1123" customWidth="1"/>
    <col min="9751" max="9751" width="18.33203125" style="1123" customWidth="1"/>
    <col min="9752" max="9752" width="18" style="1123" customWidth="1"/>
    <col min="9753" max="9984" width="9.109375" style="1123"/>
    <col min="9985" max="9985" width="13.77734375" style="1123" customWidth="1"/>
    <col min="9986" max="9986" width="11.109375" style="1123" customWidth="1"/>
    <col min="9987" max="9987" width="9.77734375" style="1123" customWidth="1"/>
    <col min="9988" max="9988" width="52.109375" style="1123" customWidth="1"/>
    <col min="9989" max="9989" width="20.6640625" style="1123" customWidth="1"/>
    <col min="9990" max="9990" width="19.44140625" style="1123" customWidth="1"/>
    <col min="9991" max="9991" width="19" style="1123" customWidth="1"/>
    <col min="9992" max="9992" width="16" style="1123" customWidth="1"/>
    <col min="9993" max="9993" width="17.77734375" style="1123" customWidth="1"/>
    <col min="9994" max="9994" width="17.44140625" style="1123" customWidth="1"/>
    <col min="9995" max="9995" width="0" style="1123" hidden="1" customWidth="1"/>
    <col min="9996" max="9996" width="17.109375" style="1123" customWidth="1"/>
    <col min="9997" max="9997" width="17.88671875" style="1123" customWidth="1"/>
    <col min="9998" max="9998" width="17" style="1123" customWidth="1"/>
    <col min="9999" max="9999" width="16.88671875" style="1123" customWidth="1"/>
    <col min="10000" max="10000" width="16" style="1123" customWidth="1"/>
    <col min="10001" max="10001" width="14.21875" style="1123" customWidth="1"/>
    <col min="10002" max="10002" width="15.6640625" style="1123" customWidth="1"/>
    <col min="10003" max="10003" width="15.88671875" style="1123" customWidth="1"/>
    <col min="10004" max="10004" width="16.88671875" style="1123" customWidth="1"/>
    <col min="10005" max="10005" width="19.6640625" style="1123" customWidth="1"/>
    <col min="10006" max="10006" width="20.5546875" style="1123" customWidth="1"/>
    <col min="10007" max="10007" width="18.33203125" style="1123" customWidth="1"/>
    <col min="10008" max="10008" width="18" style="1123" customWidth="1"/>
    <col min="10009" max="10240" width="9.109375" style="1123"/>
    <col min="10241" max="10241" width="13.77734375" style="1123" customWidth="1"/>
    <col min="10242" max="10242" width="11.109375" style="1123" customWidth="1"/>
    <col min="10243" max="10243" width="9.77734375" style="1123" customWidth="1"/>
    <col min="10244" max="10244" width="52.109375" style="1123" customWidth="1"/>
    <col min="10245" max="10245" width="20.6640625" style="1123" customWidth="1"/>
    <col min="10246" max="10246" width="19.44140625" style="1123" customWidth="1"/>
    <col min="10247" max="10247" width="19" style="1123" customWidth="1"/>
    <col min="10248" max="10248" width="16" style="1123" customWidth="1"/>
    <col min="10249" max="10249" width="17.77734375" style="1123" customWidth="1"/>
    <col min="10250" max="10250" width="17.44140625" style="1123" customWidth="1"/>
    <col min="10251" max="10251" width="0" style="1123" hidden="1" customWidth="1"/>
    <col min="10252" max="10252" width="17.109375" style="1123" customWidth="1"/>
    <col min="10253" max="10253" width="17.88671875" style="1123" customWidth="1"/>
    <col min="10254" max="10254" width="17" style="1123" customWidth="1"/>
    <col min="10255" max="10255" width="16.88671875" style="1123" customWidth="1"/>
    <col min="10256" max="10256" width="16" style="1123" customWidth="1"/>
    <col min="10257" max="10257" width="14.21875" style="1123" customWidth="1"/>
    <col min="10258" max="10258" width="15.6640625" style="1123" customWidth="1"/>
    <col min="10259" max="10259" width="15.88671875" style="1123" customWidth="1"/>
    <col min="10260" max="10260" width="16.88671875" style="1123" customWidth="1"/>
    <col min="10261" max="10261" width="19.6640625" style="1123" customWidth="1"/>
    <col min="10262" max="10262" width="20.5546875" style="1123" customWidth="1"/>
    <col min="10263" max="10263" width="18.33203125" style="1123" customWidth="1"/>
    <col min="10264" max="10264" width="18" style="1123" customWidth="1"/>
    <col min="10265" max="10496" width="9.109375" style="1123"/>
    <col min="10497" max="10497" width="13.77734375" style="1123" customWidth="1"/>
    <col min="10498" max="10498" width="11.109375" style="1123" customWidth="1"/>
    <col min="10499" max="10499" width="9.77734375" style="1123" customWidth="1"/>
    <col min="10500" max="10500" width="52.109375" style="1123" customWidth="1"/>
    <col min="10501" max="10501" width="20.6640625" style="1123" customWidth="1"/>
    <col min="10502" max="10502" width="19.44140625" style="1123" customWidth="1"/>
    <col min="10503" max="10503" width="19" style="1123" customWidth="1"/>
    <col min="10504" max="10504" width="16" style="1123" customWidth="1"/>
    <col min="10505" max="10505" width="17.77734375" style="1123" customWidth="1"/>
    <col min="10506" max="10506" width="17.44140625" style="1123" customWidth="1"/>
    <col min="10507" max="10507" width="0" style="1123" hidden="1" customWidth="1"/>
    <col min="10508" max="10508" width="17.109375" style="1123" customWidth="1"/>
    <col min="10509" max="10509" width="17.88671875" style="1123" customWidth="1"/>
    <col min="10510" max="10510" width="17" style="1123" customWidth="1"/>
    <col min="10511" max="10511" width="16.88671875" style="1123" customWidth="1"/>
    <col min="10512" max="10512" width="16" style="1123" customWidth="1"/>
    <col min="10513" max="10513" width="14.21875" style="1123" customWidth="1"/>
    <col min="10514" max="10514" width="15.6640625" style="1123" customWidth="1"/>
    <col min="10515" max="10515" width="15.88671875" style="1123" customWidth="1"/>
    <col min="10516" max="10516" width="16.88671875" style="1123" customWidth="1"/>
    <col min="10517" max="10517" width="19.6640625" style="1123" customWidth="1"/>
    <col min="10518" max="10518" width="20.5546875" style="1123" customWidth="1"/>
    <col min="10519" max="10519" width="18.33203125" style="1123" customWidth="1"/>
    <col min="10520" max="10520" width="18" style="1123" customWidth="1"/>
    <col min="10521" max="10752" width="9.109375" style="1123"/>
    <col min="10753" max="10753" width="13.77734375" style="1123" customWidth="1"/>
    <col min="10754" max="10754" width="11.109375" style="1123" customWidth="1"/>
    <col min="10755" max="10755" width="9.77734375" style="1123" customWidth="1"/>
    <col min="10756" max="10756" width="52.109375" style="1123" customWidth="1"/>
    <col min="10757" max="10757" width="20.6640625" style="1123" customWidth="1"/>
    <col min="10758" max="10758" width="19.44140625" style="1123" customWidth="1"/>
    <col min="10759" max="10759" width="19" style="1123" customWidth="1"/>
    <col min="10760" max="10760" width="16" style="1123" customWidth="1"/>
    <col min="10761" max="10761" width="17.77734375" style="1123" customWidth="1"/>
    <col min="10762" max="10762" width="17.44140625" style="1123" customWidth="1"/>
    <col min="10763" max="10763" width="0" style="1123" hidden="1" customWidth="1"/>
    <col min="10764" max="10764" width="17.109375" style="1123" customWidth="1"/>
    <col min="10765" max="10765" width="17.88671875" style="1123" customWidth="1"/>
    <col min="10766" max="10766" width="17" style="1123" customWidth="1"/>
    <col min="10767" max="10767" width="16.88671875" style="1123" customWidth="1"/>
    <col min="10768" max="10768" width="16" style="1123" customWidth="1"/>
    <col min="10769" max="10769" width="14.21875" style="1123" customWidth="1"/>
    <col min="10770" max="10770" width="15.6640625" style="1123" customWidth="1"/>
    <col min="10771" max="10771" width="15.88671875" style="1123" customWidth="1"/>
    <col min="10772" max="10772" width="16.88671875" style="1123" customWidth="1"/>
    <col min="10773" max="10773" width="19.6640625" style="1123" customWidth="1"/>
    <col min="10774" max="10774" width="20.5546875" style="1123" customWidth="1"/>
    <col min="10775" max="10775" width="18.33203125" style="1123" customWidth="1"/>
    <col min="10776" max="10776" width="18" style="1123" customWidth="1"/>
    <col min="10777" max="11008" width="9.109375" style="1123"/>
    <col min="11009" max="11009" width="13.77734375" style="1123" customWidth="1"/>
    <col min="11010" max="11010" width="11.109375" style="1123" customWidth="1"/>
    <col min="11011" max="11011" width="9.77734375" style="1123" customWidth="1"/>
    <col min="11012" max="11012" width="52.109375" style="1123" customWidth="1"/>
    <col min="11013" max="11013" width="20.6640625" style="1123" customWidth="1"/>
    <col min="11014" max="11014" width="19.44140625" style="1123" customWidth="1"/>
    <col min="11015" max="11015" width="19" style="1123" customWidth="1"/>
    <col min="11016" max="11016" width="16" style="1123" customWidth="1"/>
    <col min="11017" max="11017" width="17.77734375" style="1123" customWidth="1"/>
    <col min="11018" max="11018" width="17.44140625" style="1123" customWidth="1"/>
    <col min="11019" max="11019" width="0" style="1123" hidden="1" customWidth="1"/>
    <col min="11020" max="11020" width="17.109375" style="1123" customWidth="1"/>
    <col min="11021" max="11021" width="17.88671875" style="1123" customWidth="1"/>
    <col min="11022" max="11022" width="17" style="1123" customWidth="1"/>
    <col min="11023" max="11023" width="16.88671875" style="1123" customWidth="1"/>
    <col min="11024" max="11024" width="16" style="1123" customWidth="1"/>
    <col min="11025" max="11025" width="14.21875" style="1123" customWidth="1"/>
    <col min="11026" max="11026" width="15.6640625" style="1123" customWidth="1"/>
    <col min="11027" max="11027" width="15.88671875" style="1123" customWidth="1"/>
    <col min="11028" max="11028" width="16.88671875" style="1123" customWidth="1"/>
    <col min="11029" max="11029" width="19.6640625" style="1123" customWidth="1"/>
    <col min="11030" max="11030" width="20.5546875" style="1123" customWidth="1"/>
    <col min="11031" max="11031" width="18.33203125" style="1123" customWidth="1"/>
    <col min="11032" max="11032" width="18" style="1123" customWidth="1"/>
    <col min="11033" max="11264" width="9.109375" style="1123"/>
    <col min="11265" max="11265" width="13.77734375" style="1123" customWidth="1"/>
    <col min="11266" max="11266" width="11.109375" style="1123" customWidth="1"/>
    <col min="11267" max="11267" width="9.77734375" style="1123" customWidth="1"/>
    <col min="11268" max="11268" width="52.109375" style="1123" customWidth="1"/>
    <col min="11269" max="11269" width="20.6640625" style="1123" customWidth="1"/>
    <col min="11270" max="11270" width="19.44140625" style="1123" customWidth="1"/>
    <col min="11271" max="11271" width="19" style="1123" customWidth="1"/>
    <col min="11272" max="11272" width="16" style="1123" customWidth="1"/>
    <col min="11273" max="11273" width="17.77734375" style="1123" customWidth="1"/>
    <col min="11274" max="11274" width="17.44140625" style="1123" customWidth="1"/>
    <col min="11275" max="11275" width="0" style="1123" hidden="1" customWidth="1"/>
    <col min="11276" max="11276" width="17.109375" style="1123" customWidth="1"/>
    <col min="11277" max="11277" width="17.88671875" style="1123" customWidth="1"/>
    <col min="11278" max="11278" width="17" style="1123" customWidth="1"/>
    <col min="11279" max="11279" width="16.88671875" style="1123" customWidth="1"/>
    <col min="11280" max="11280" width="16" style="1123" customWidth="1"/>
    <col min="11281" max="11281" width="14.21875" style="1123" customWidth="1"/>
    <col min="11282" max="11282" width="15.6640625" style="1123" customWidth="1"/>
    <col min="11283" max="11283" width="15.88671875" style="1123" customWidth="1"/>
    <col min="11284" max="11284" width="16.88671875" style="1123" customWidth="1"/>
    <col min="11285" max="11285" width="19.6640625" style="1123" customWidth="1"/>
    <col min="11286" max="11286" width="20.5546875" style="1123" customWidth="1"/>
    <col min="11287" max="11287" width="18.33203125" style="1123" customWidth="1"/>
    <col min="11288" max="11288" width="18" style="1123" customWidth="1"/>
    <col min="11289" max="11520" width="9.109375" style="1123"/>
    <col min="11521" max="11521" width="13.77734375" style="1123" customWidth="1"/>
    <col min="11522" max="11522" width="11.109375" style="1123" customWidth="1"/>
    <col min="11523" max="11523" width="9.77734375" style="1123" customWidth="1"/>
    <col min="11524" max="11524" width="52.109375" style="1123" customWidth="1"/>
    <col min="11525" max="11525" width="20.6640625" style="1123" customWidth="1"/>
    <col min="11526" max="11526" width="19.44140625" style="1123" customWidth="1"/>
    <col min="11527" max="11527" width="19" style="1123" customWidth="1"/>
    <col min="11528" max="11528" width="16" style="1123" customWidth="1"/>
    <col min="11529" max="11529" width="17.77734375" style="1123" customWidth="1"/>
    <col min="11530" max="11530" width="17.44140625" style="1123" customWidth="1"/>
    <col min="11531" max="11531" width="0" style="1123" hidden="1" customWidth="1"/>
    <col min="11532" max="11532" width="17.109375" style="1123" customWidth="1"/>
    <col min="11533" max="11533" width="17.88671875" style="1123" customWidth="1"/>
    <col min="11534" max="11534" width="17" style="1123" customWidth="1"/>
    <col min="11535" max="11535" width="16.88671875" style="1123" customWidth="1"/>
    <col min="11536" max="11536" width="16" style="1123" customWidth="1"/>
    <col min="11537" max="11537" width="14.21875" style="1123" customWidth="1"/>
    <col min="11538" max="11538" width="15.6640625" style="1123" customWidth="1"/>
    <col min="11539" max="11539" width="15.88671875" style="1123" customWidth="1"/>
    <col min="11540" max="11540" width="16.88671875" style="1123" customWidth="1"/>
    <col min="11541" max="11541" width="19.6640625" style="1123" customWidth="1"/>
    <col min="11542" max="11542" width="20.5546875" style="1123" customWidth="1"/>
    <col min="11543" max="11543" width="18.33203125" style="1123" customWidth="1"/>
    <col min="11544" max="11544" width="18" style="1123" customWidth="1"/>
    <col min="11545" max="11776" width="9.109375" style="1123"/>
    <col min="11777" max="11777" width="13.77734375" style="1123" customWidth="1"/>
    <col min="11778" max="11778" width="11.109375" style="1123" customWidth="1"/>
    <col min="11779" max="11779" width="9.77734375" style="1123" customWidth="1"/>
    <col min="11780" max="11780" width="52.109375" style="1123" customWidth="1"/>
    <col min="11781" max="11781" width="20.6640625" style="1123" customWidth="1"/>
    <col min="11782" max="11782" width="19.44140625" style="1123" customWidth="1"/>
    <col min="11783" max="11783" width="19" style="1123" customWidth="1"/>
    <col min="11784" max="11784" width="16" style="1123" customWidth="1"/>
    <col min="11785" max="11785" width="17.77734375" style="1123" customWidth="1"/>
    <col min="11786" max="11786" width="17.44140625" style="1123" customWidth="1"/>
    <col min="11787" max="11787" width="0" style="1123" hidden="1" customWidth="1"/>
    <col min="11788" max="11788" width="17.109375" style="1123" customWidth="1"/>
    <col min="11789" max="11789" width="17.88671875" style="1123" customWidth="1"/>
    <col min="11790" max="11790" width="17" style="1123" customWidth="1"/>
    <col min="11791" max="11791" width="16.88671875" style="1123" customWidth="1"/>
    <col min="11792" max="11792" width="16" style="1123" customWidth="1"/>
    <col min="11793" max="11793" width="14.21875" style="1123" customWidth="1"/>
    <col min="11794" max="11794" width="15.6640625" style="1123" customWidth="1"/>
    <col min="11795" max="11795" width="15.88671875" style="1123" customWidth="1"/>
    <col min="11796" max="11796" width="16.88671875" style="1123" customWidth="1"/>
    <col min="11797" max="11797" width="19.6640625" style="1123" customWidth="1"/>
    <col min="11798" max="11798" width="20.5546875" style="1123" customWidth="1"/>
    <col min="11799" max="11799" width="18.33203125" style="1123" customWidth="1"/>
    <col min="11800" max="11800" width="18" style="1123" customWidth="1"/>
    <col min="11801" max="12032" width="9.109375" style="1123"/>
    <col min="12033" max="12033" width="13.77734375" style="1123" customWidth="1"/>
    <col min="12034" max="12034" width="11.109375" style="1123" customWidth="1"/>
    <col min="12035" max="12035" width="9.77734375" style="1123" customWidth="1"/>
    <col min="12036" max="12036" width="52.109375" style="1123" customWidth="1"/>
    <col min="12037" max="12037" width="20.6640625" style="1123" customWidth="1"/>
    <col min="12038" max="12038" width="19.44140625" style="1123" customWidth="1"/>
    <col min="12039" max="12039" width="19" style="1123" customWidth="1"/>
    <col min="12040" max="12040" width="16" style="1123" customWidth="1"/>
    <col min="12041" max="12041" width="17.77734375" style="1123" customWidth="1"/>
    <col min="12042" max="12042" width="17.44140625" style="1123" customWidth="1"/>
    <col min="12043" max="12043" width="0" style="1123" hidden="1" customWidth="1"/>
    <col min="12044" max="12044" width="17.109375" style="1123" customWidth="1"/>
    <col min="12045" max="12045" width="17.88671875" style="1123" customWidth="1"/>
    <col min="12046" max="12046" width="17" style="1123" customWidth="1"/>
    <col min="12047" max="12047" width="16.88671875" style="1123" customWidth="1"/>
    <col min="12048" max="12048" width="16" style="1123" customWidth="1"/>
    <col min="12049" max="12049" width="14.21875" style="1123" customWidth="1"/>
    <col min="12050" max="12050" width="15.6640625" style="1123" customWidth="1"/>
    <col min="12051" max="12051" width="15.88671875" style="1123" customWidth="1"/>
    <col min="12052" max="12052" width="16.88671875" style="1123" customWidth="1"/>
    <col min="12053" max="12053" width="19.6640625" style="1123" customWidth="1"/>
    <col min="12054" max="12054" width="20.5546875" style="1123" customWidth="1"/>
    <col min="12055" max="12055" width="18.33203125" style="1123" customWidth="1"/>
    <col min="12056" max="12056" width="18" style="1123" customWidth="1"/>
    <col min="12057" max="12288" width="9.109375" style="1123"/>
    <col min="12289" max="12289" width="13.77734375" style="1123" customWidth="1"/>
    <col min="12290" max="12290" width="11.109375" style="1123" customWidth="1"/>
    <col min="12291" max="12291" width="9.77734375" style="1123" customWidth="1"/>
    <col min="12292" max="12292" width="52.109375" style="1123" customWidth="1"/>
    <col min="12293" max="12293" width="20.6640625" style="1123" customWidth="1"/>
    <col min="12294" max="12294" width="19.44140625" style="1123" customWidth="1"/>
    <col min="12295" max="12295" width="19" style="1123" customWidth="1"/>
    <col min="12296" max="12296" width="16" style="1123" customWidth="1"/>
    <col min="12297" max="12297" width="17.77734375" style="1123" customWidth="1"/>
    <col min="12298" max="12298" width="17.44140625" style="1123" customWidth="1"/>
    <col min="12299" max="12299" width="0" style="1123" hidden="1" customWidth="1"/>
    <col min="12300" max="12300" width="17.109375" style="1123" customWidth="1"/>
    <col min="12301" max="12301" width="17.88671875" style="1123" customWidth="1"/>
    <col min="12302" max="12302" width="17" style="1123" customWidth="1"/>
    <col min="12303" max="12303" width="16.88671875" style="1123" customWidth="1"/>
    <col min="12304" max="12304" width="16" style="1123" customWidth="1"/>
    <col min="12305" max="12305" width="14.21875" style="1123" customWidth="1"/>
    <col min="12306" max="12306" width="15.6640625" style="1123" customWidth="1"/>
    <col min="12307" max="12307" width="15.88671875" style="1123" customWidth="1"/>
    <col min="12308" max="12308" width="16.88671875" style="1123" customWidth="1"/>
    <col min="12309" max="12309" width="19.6640625" style="1123" customWidth="1"/>
    <col min="12310" max="12310" width="20.5546875" style="1123" customWidth="1"/>
    <col min="12311" max="12311" width="18.33203125" style="1123" customWidth="1"/>
    <col min="12312" max="12312" width="18" style="1123" customWidth="1"/>
    <col min="12313" max="12544" width="9.109375" style="1123"/>
    <col min="12545" max="12545" width="13.77734375" style="1123" customWidth="1"/>
    <col min="12546" max="12546" width="11.109375" style="1123" customWidth="1"/>
    <col min="12547" max="12547" width="9.77734375" style="1123" customWidth="1"/>
    <col min="12548" max="12548" width="52.109375" style="1123" customWidth="1"/>
    <col min="12549" max="12549" width="20.6640625" style="1123" customWidth="1"/>
    <col min="12550" max="12550" width="19.44140625" style="1123" customWidth="1"/>
    <col min="12551" max="12551" width="19" style="1123" customWidth="1"/>
    <col min="12552" max="12552" width="16" style="1123" customWidth="1"/>
    <col min="12553" max="12553" width="17.77734375" style="1123" customWidth="1"/>
    <col min="12554" max="12554" width="17.44140625" style="1123" customWidth="1"/>
    <col min="12555" max="12555" width="0" style="1123" hidden="1" customWidth="1"/>
    <col min="12556" max="12556" width="17.109375" style="1123" customWidth="1"/>
    <col min="12557" max="12557" width="17.88671875" style="1123" customWidth="1"/>
    <col min="12558" max="12558" width="17" style="1123" customWidth="1"/>
    <col min="12559" max="12559" width="16.88671875" style="1123" customWidth="1"/>
    <col min="12560" max="12560" width="16" style="1123" customWidth="1"/>
    <col min="12561" max="12561" width="14.21875" style="1123" customWidth="1"/>
    <col min="12562" max="12562" width="15.6640625" style="1123" customWidth="1"/>
    <col min="12563" max="12563" width="15.88671875" style="1123" customWidth="1"/>
    <col min="12564" max="12564" width="16.88671875" style="1123" customWidth="1"/>
    <col min="12565" max="12565" width="19.6640625" style="1123" customWidth="1"/>
    <col min="12566" max="12566" width="20.5546875" style="1123" customWidth="1"/>
    <col min="12567" max="12567" width="18.33203125" style="1123" customWidth="1"/>
    <col min="12568" max="12568" width="18" style="1123" customWidth="1"/>
    <col min="12569" max="12800" width="9.109375" style="1123"/>
    <col min="12801" max="12801" width="13.77734375" style="1123" customWidth="1"/>
    <col min="12802" max="12802" width="11.109375" style="1123" customWidth="1"/>
    <col min="12803" max="12803" width="9.77734375" style="1123" customWidth="1"/>
    <col min="12804" max="12804" width="52.109375" style="1123" customWidth="1"/>
    <col min="12805" max="12805" width="20.6640625" style="1123" customWidth="1"/>
    <col min="12806" max="12806" width="19.44140625" style="1123" customWidth="1"/>
    <col min="12807" max="12807" width="19" style="1123" customWidth="1"/>
    <col min="12808" max="12808" width="16" style="1123" customWidth="1"/>
    <col min="12809" max="12809" width="17.77734375" style="1123" customWidth="1"/>
    <col min="12810" max="12810" width="17.44140625" style="1123" customWidth="1"/>
    <col min="12811" max="12811" width="0" style="1123" hidden="1" customWidth="1"/>
    <col min="12812" max="12812" width="17.109375" style="1123" customWidth="1"/>
    <col min="12813" max="12813" width="17.88671875" style="1123" customWidth="1"/>
    <col min="12814" max="12814" width="17" style="1123" customWidth="1"/>
    <col min="12815" max="12815" width="16.88671875" style="1123" customWidth="1"/>
    <col min="12816" max="12816" width="16" style="1123" customWidth="1"/>
    <col min="12817" max="12817" width="14.21875" style="1123" customWidth="1"/>
    <col min="12818" max="12818" width="15.6640625" style="1123" customWidth="1"/>
    <col min="12819" max="12819" width="15.88671875" style="1123" customWidth="1"/>
    <col min="12820" max="12820" width="16.88671875" style="1123" customWidth="1"/>
    <col min="12821" max="12821" width="19.6640625" style="1123" customWidth="1"/>
    <col min="12822" max="12822" width="20.5546875" style="1123" customWidth="1"/>
    <col min="12823" max="12823" width="18.33203125" style="1123" customWidth="1"/>
    <col min="12824" max="12824" width="18" style="1123" customWidth="1"/>
    <col min="12825" max="13056" width="9.109375" style="1123"/>
    <col min="13057" max="13057" width="13.77734375" style="1123" customWidth="1"/>
    <col min="13058" max="13058" width="11.109375" style="1123" customWidth="1"/>
    <col min="13059" max="13059" width="9.77734375" style="1123" customWidth="1"/>
    <col min="13060" max="13060" width="52.109375" style="1123" customWidth="1"/>
    <col min="13061" max="13061" width="20.6640625" style="1123" customWidth="1"/>
    <col min="13062" max="13062" width="19.44140625" style="1123" customWidth="1"/>
    <col min="13063" max="13063" width="19" style="1123" customWidth="1"/>
    <col min="13064" max="13064" width="16" style="1123" customWidth="1"/>
    <col min="13065" max="13065" width="17.77734375" style="1123" customWidth="1"/>
    <col min="13066" max="13066" width="17.44140625" style="1123" customWidth="1"/>
    <col min="13067" max="13067" width="0" style="1123" hidden="1" customWidth="1"/>
    <col min="13068" max="13068" width="17.109375" style="1123" customWidth="1"/>
    <col min="13069" max="13069" width="17.88671875" style="1123" customWidth="1"/>
    <col min="13070" max="13070" width="17" style="1123" customWidth="1"/>
    <col min="13071" max="13071" width="16.88671875" style="1123" customWidth="1"/>
    <col min="13072" max="13072" width="16" style="1123" customWidth="1"/>
    <col min="13073" max="13073" width="14.21875" style="1123" customWidth="1"/>
    <col min="13074" max="13074" width="15.6640625" style="1123" customWidth="1"/>
    <col min="13075" max="13075" width="15.88671875" style="1123" customWidth="1"/>
    <col min="13076" max="13076" width="16.88671875" style="1123" customWidth="1"/>
    <col min="13077" max="13077" width="19.6640625" style="1123" customWidth="1"/>
    <col min="13078" max="13078" width="20.5546875" style="1123" customWidth="1"/>
    <col min="13079" max="13079" width="18.33203125" style="1123" customWidth="1"/>
    <col min="13080" max="13080" width="18" style="1123" customWidth="1"/>
    <col min="13081" max="13312" width="9.109375" style="1123"/>
    <col min="13313" max="13313" width="13.77734375" style="1123" customWidth="1"/>
    <col min="13314" max="13314" width="11.109375" style="1123" customWidth="1"/>
    <col min="13315" max="13315" width="9.77734375" style="1123" customWidth="1"/>
    <col min="13316" max="13316" width="52.109375" style="1123" customWidth="1"/>
    <col min="13317" max="13317" width="20.6640625" style="1123" customWidth="1"/>
    <col min="13318" max="13318" width="19.44140625" style="1123" customWidth="1"/>
    <col min="13319" max="13319" width="19" style="1123" customWidth="1"/>
    <col min="13320" max="13320" width="16" style="1123" customWidth="1"/>
    <col min="13321" max="13321" width="17.77734375" style="1123" customWidth="1"/>
    <col min="13322" max="13322" width="17.44140625" style="1123" customWidth="1"/>
    <col min="13323" max="13323" width="0" style="1123" hidden="1" customWidth="1"/>
    <col min="13324" max="13324" width="17.109375" style="1123" customWidth="1"/>
    <col min="13325" max="13325" width="17.88671875" style="1123" customWidth="1"/>
    <col min="13326" max="13326" width="17" style="1123" customWidth="1"/>
    <col min="13327" max="13327" width="16.88671875" style="1123" customWidth="1"/>
    <col min="13328" max="13328" width="16" style="1123" customWidth="1"/>
    <col min="13329" max="13329" width="14.21875" style="1123" customWidth="1"/>
    <col min="13330" max="13330" width="15.6640625" style="1123" customWidth="1"/>
    <col min="13331" max="13331" width="15.88671875" style="1123" customWidth="1"/>
    <col min="13332" max="13332" width="16.88671875" style="1123" customWidth="1"/>
    <col min="13333" max="13333" width="19.6640625" style="1123" customWidth="1"/>
    <col min="13334" max="13334" width="20.5546875" style="1123" customWidth="1"/>
    <col min="13335" max="13335" width="18.33203125" style="1123" customWidth="1"/>
    <col min="13336" max="13336" width="18" style="1123" customWidth="1"/>
    <col min="13337" max="13568" width="9.109375" style="1123"/>
    <col min="13569" max="13569" width="13.77734375" style="1123" customWidth="1"/>
    <col min="13570" max="13570" width="11.109375" style="1123" customWidth="1"/>
    <col min="13571" max="13571" width="9.77734375" style="1123" customWidth="1"/>
    <col min="13572" max="13572" width="52.109375" style="1123" customWidth="1"/>
    <col min="13573" max="13573" width="20.6640625" style="1123" customWidth="1"/>
    <col min="13574" max="13574" width="19.44140625" style="1123" customWidth="1"/>
    <col min="13575" max="13575" width="19" style="1123" customWidth="1"/>
    <col min="13576" max="13576" width="16" style="1123" customWidth="1"/>
    <col min="13577" max="13577" width="17.77734375" style="1123" customWidth="1"/>
    <col min="13578" max="13578" width="17.44140625" style="1123" customWidth="1"/>
    <col min="13579" max="13579" width="0" style="1123" hidden="1" customWidth="1"/>
    <col min="13580" max="13580" width="17.109375" style="1123" customWidth="1"/>
    <col min="13581" max="13581" width="17.88671875" style="1123" customWidth="1"/>
    <col min="13582" max="13582" width="17" style="1123" customWidth="1"/>
    <col min="13583" max="13583" width="16.88671875" style="1123" customWidth="1"/>
    <col min="13584" max="13584" width="16" style="1123" customWidth="1"/>
    <col min="13585" max="13585" width="14.21875" style="1123" customWidth="1"/>
    <col min="13586" max="13586" width="15.6640625" style="1123" customWidth="1"/>
    <col min="13587" max="13587" width="15.88671875" style="1123" customWidth="1"/>
    <col min="13588" max="13588" width="16.88671875" style="1123" customWidth="1"/>
    <col min="13589" max="13589" width="19.6640625" style="1123" customWidth="1"/>
    <col min="13590" max="13590" width="20.5546875" style="1123" customWidth="1"/>
    <col min="13591" max="13591" width="18.33203125" style="1123" customWidth="1"/>
    <col min="13592" max="13592" width="18" style="1123" customWidth="1"/>
    <col min="13593" max="13824" width="9.109375" style="1123"/>
    <col min="13825" max="13825" width="13.77734375" style="1123" customWidth="1"/>
    <col min="13826" max="13826" width="11.109375" style="1123" customWidth="1"/>
    <col min="13827" max="13827" width="9.77734375" style="1123" customWidth="1"/>
    <col min="13828" max="13828" width="52.109375" style="1123" customWidth="1"/>
    <col min="13829" max="13829" width="20.6640625" style="1123" customWidth="1"/>
    <col min="13830" max="13830" width="19.44140625" style="1123" customWidth="1"/>
    <col min="13831" max="13831" width="19" style="1123" customWidth="1"/>
    <col min="13832" max="13832" width="16" style="1123" customWidth="1"/>
    <col min="13833" max="13833" width="17.77734375" style="1123" customWidth="1"/>
    <col min="13834" max="13834" width="17.44140625" style="1123" customWidth="1"/>
    <col min="13835" max="13835" width="0" style="1123" hidden="1" customWidth="1"/>
    <col min="13836" max="13836" width="17.109375" style="1123" customWidth="1"/>
    <col min="13837" max="13837" width="17.88671875" style="1123" customWidth="1"/>
    <col min="13838" max="13838" width="17" style="1123" customWidth="1"/>
    <col min="13839" max="13839" width="16.88671875" style="1123" customWidth="1"/>
    <col min="13840" max="13840" width="16" style="1123" customWidth="1"/>
    <col min="13841" max="13841" width="14.21875" style="1123" customWidth="1"/>
    <col min="13842" max="13842" width="15.6640625" style="1123" customWidth="1"/>
    <col min="13843" max="13843" width="15.88671875" style="1123" customWidth="1"/>
    <col min="13844" max="13844" width="16.88671875" style="1123" customWidth="1"/>
    <col min="13845" max="13845" width="19.6640625" style="1123" customWidth="1"/>
    <col min="13846" max="13846" width="20.5546875" style="1123" customWidth="1"/>
    <col min="13847" max="13847" width="18.33203125" style="1123" customWidth="1"/>
    <col min="13848" max="13848" width="18" style="1123" customWidth="1"/>
    <col min="13849" max="14080" width="9.109375" style="1123"/>
    <col min="14081" max="14081" width="13.77734375" style="1123" customWidth="1"/>
    <col min="14082" max="14082" width="11.109375" style="1123" customWidth="1"/>
    <col min="14083" max="14083" width="9.77734375" style="1123" customWidth="1"/>
    <col min="14084" max="14084" width="52.109375" style="1123" customWidth="1"/>
    <col min="14085" max="14085" width="20.6640625" style="1123" customWidth="1"/>
    <col min="14086" max="14086" width="19.44140625" style="1123" customWidth="1"/>
    <col min="14087" max="14087" width="19" style="1123" customWidth="1"/>
    <col min="14088" max="14088" width="16" style="1123" customWidth="1"/>
    <col min="14089" max="14089" width="17.77734375" style="1123" customWidth="1"/>
    <col min="14090" max="14090" width="17.44140625" style="1123" customWidth="1"/>
    <col min="14091" max="14091" width="0" style="1123" hidden="1" customWidth="1"/>
    <col min="14092" max="14092" width="17.109375" style="1123" customWidth="1"/>
    <col min="14093" max="14093" width="17.88671875" style="1123" customWidth="1"/>
    <col min="14094" max="14094" width="17" style="1123" customWidth="1"/>
    <col min="14095" max="14095" width="16.88671875" style="1123" customWidth="1"/>
    <col min="14096" max="14096" width="16" style="1123" customWidth="1"/>
    <col min="14097" max="14097" width="14.21875" style="1123" customWidth="1"/>
    <col min="14098" max="14098" width="15.6640625" style="1123" customWidth="1"/>
    <col min="14099" max="14099" width="15.88671875" style="1123" customWidth="1"/>
    <col min="14100" max="14100" width="16.88671875" style="1123" customWidth="1"/>
    <col min="14101" max="14101" width="19.6640625" style="1123" customWidth="1"/>
    <col min="14102" max="14102" width="20.5546875" style="1123" customWidth="1"/>
    <col min="14103" max="14103" width="18.33203125" style="1123" customWidth="1"/>
    <col min="14104" max="14104" width="18" style="1123" customWidth="1"/>
    <col min="14105" max="14336" width="9.109375" style="1123"/>
    <col min="14337" max="14337" width="13.77734375" style="1123" customWidth="1"/>
    <col min="14338" max="14338" width="11.109375" style="1123" customWidth="1"/>
    <col min="14339" max="14339" width="9.77734375" style="1123" customWidth="1"/>
    <col min="14340" max="14340" width="52.109375" style="1123" customWidth="1"/>
    <col min="14341" max="14341" width="20.6640625" style="1123" customWidth="1"/>
    <col min="14342" max="14342" width="19.44140625" style="1123" customWidth="1"/>
    <col min="14343" max="14343" width="19" style="1123" customWidth="1"/>
    <col min="14344" max="14344" width="16" style="1123" customWidth="1"/>
    <col min="14345" max="14345" width="17.77734375" style="1123" customWidth="1"/>
    <col min="14346" max="14346" width="17.44140625" style="1123" customWidth="1"/>
    <col min="14347" max="14347" width="0" style="1123" hidden="1" customWidth="1"/>
    <col min="14348" max="14348" width="17.109375" style="1123" customWidth="1"/>
    <col min="14349" max="14349" width="17.88671875" style="1123" customWidth="1"/>
    <col min="14350" max="14350" width="17" style="1123" customWidth="1"/>
    <col min="14351" max="14351" width="16.88671875" style="1123" customWidth="1"/>
    <col min="14352" max="14352" width="16" style="1123" customWidth="1"/>
    <col min="14353" max="14353" width="14.21875" style="1123" customWidth="1"/>
    <col min="14354" max="14354" width="15.6640625" style="1123" customWidth="1"/>
    <col min="14355" max="14355" width="15.88671875" style="1123" customWidth="1"/>
    <col min="14356" max="14356" width="16.88671875" style="1123" customWidth="1"/>
    <col min="14357" max="14357" width="19.6640625" style="1123" customWidth="1"/>
    <col min="14358" max="14358" width="20.5546875" style="1123" customWidth="1"/>
    <col min="14359" max="14359" width="18.33203125" style="1123" customWidth="1"/>
    <col min="14360" max="14360" width="18" style="1123" customWidth="1"/>
    <col min="14361" max="14592" width="9.109375" style="1123"/>
    <col min="14593" max="14593" width="13.77734375" style="1123" customWidth="1"/>
    <col min="14594" max="14594" width="11.109375" style="1123" customWidth="1"/>
    <col min="14595" max="14595" width="9.77734375" style="1123" customWidth="1"/>
    <col min="14596" max="14596" width="52.109375" style="1123" customWidth="1"/>
    <col min="14597" max="14597" width="20.6640625" style="1123" customWidth="1"/>
    <col min="14598" max="14598" width="19.44140625" style="1123" customWidth="1"/>
    <col min="14599" max="14599" width="19" style="1123" customWidth="1"/>
    <col min="14600" max="14600" width="16" style="1123" customWidth="1"/>
    <col min="14601" max="14601" width="17.77734375" style="1123" customWidth="1"/>
    <col min="14602" max="14602" width="17.44140625" style="1123" customWidth="1"/>
    <col min="14603" max="14603" width="0" style="1123" hidden="1" customWidth="1"/>
    <col min="14604" max="14604" width="17.109375" style="1123" customWidth="1"/>
    <col min="14605" max="14605" width="17.88671875" style="1123" customWidth="1"/>
    <col min="14606" max="14606" width="17" style="1123" customWidth="1"/>
    <col min="14607" max="14607" width="16.88671875" style="1123" customWidth="1"/>
    <col min="14608" max="14608" width="16" style="1123" customWidth="1"/>
    <col min="14609" max="14609" width="14.21875" style="1123" customWidth="1"/>
    <col min="14610" max="14610" width="15.6640625" style="1123" customWidth="1"/>
    <col min="14611" max="14611" width="15.88671875" style="1123" customWidth="1"/>
    <col min="14612" max="14612" width="16.88671875" style="1123" customWidth="1"/>
    <col min="14613" max="14613" width="19.6640625" style="1123" customWidth="1"/>
    <col min="14614" max="14614" width="20.5546875" style="1123" customWidth="1"/>
    <col min="14615" max="14615" width="18.33203125" style="1123" customWidth="1"/>
    <col min="14616" max="14616" width="18" style="1123" customWidth="1"/>
    <col min="14617" max="14848" width="9.109375" style="1123"/>
    <col min="14849" max="14849" width="13.77734375" style="1123" customWidth="1"/>
    <col min="14850" max="14850" width="11.109375" style="1123" customWidth="1"/>
    <col min="14851" max="14851" width="9.77734375" style="1123" customWidth="1"/>
    <col min="14852" max="14852" width="52.109375" style="1123" customWidth="1"/>
    <col min="14853" max="14853" width="20.6640625" style="1123" customWidth="1"/>
    <col min="14854" max="14854" width="19.44140625" style="1123" customWidth="1"/>
    <col min="14855" max="14855" width="19" style="1123" customWidth="1"/>
    <col min="14856" max="14856" width="16" style="1123" customWidth="1"/>
    <col min="14857" max="14857" width="17.77734375" style="1123" customWidth="1"/>
    <col min="14858" max="14858" width="17.44140625" style="1123" customWidth="1"/>
    <col min="14859" max="14859" width="0" style="1123" hidden="1" customWidth="1"/>
    <col min="14860" max="14860" width="17.109375" style="1123" customWidth="1"/>
    <col min="14861" max="14861" width="17.88671875" style="1123" customWidth="1"/>
    <col min="14862" max="14862" width="17" style="1123" customWidth="1"/>
    <col min="14863" max="14863" width="16.88671875" style="1123" customWidth="1"/>
    <col min="14864" max="14864" width="16" style="1123" customWidth="1"/>
    <col min="14865" max="14865" width="14.21875" style="1123" customWidth="1"/>
    <col min="14866" max="14866" width="15.6640625" style="1123" customWidth="1"/>
    <col min="14867" max="14867" width="15.88671875" style="1123" customWidth="1"/>
    <col min="14868" max="14868" width="16.88671875" style="1123" customWidth="1"/>
    <col min="14869" max="14869" width="19.6640625" style="1123" customWidth="1"/>
    <col min="14870" max="14870" width="20.5546875" style="1123" customWidth="1"/>
    <col min="14871" max="14871" width="18.33203125" style="1123" customWidth="1"/>
    <col min="14872" max="14872" width="18" style="1123" customWidth="1"/>
    <col min="14873" max="15104" width="9.109375" style="1123"/>
    <col min="15105" max="15105" width="13.77734375" style="1123" customWidth="1"/>
    <col min="15106" max="15106" width="11.109375" style="1123" customWidth="1"/>
    <col min="15107" max="15107" width="9.77734375" style="1123" customWidth="1"/>
    <col min="15108" max="15108" width="52.109375" style="1123" customWidth="1"/>
    <col min="15109" max="15109" width="20.6640625" style="1123" customWidth="1"/>
    <col min="15110" max="15110" width="19.44140625" style="1123" customWidth="1"/>
    <col min="15111" max="15111" width="19" style="1123" customWidth="1"/>
    <col min="15112" max="15112" width="16" style="1123" customWidth="1"/>
    <col min="15113" max="15113" width="17.77734375" style="1123" customWidth="1"/>
    <col min="15114" max="15114" width="17.44140625" style="1123" customWidth="1"/>
    <col min="15115" max="15115" width="0" style="1123" hidden="1" customWidth="1"/>
    <col min="15116" max="15116" width="17.109375" style="1123" customWidth="1"/>
    <col min="15117" max="15117" width="17.88671875" style="1123" customWidth="1"/>
    <col min="15118" max="15118" width="17" style="1123" customWidth="1"/>
    <col min="15119" max="15119" width="16.88671875" style="1123" customWidth="1"/>
    <col min="15120" max="15120" width="16" style="1123" customWidth="1"/>
    <col min="15121" max="15121" width="14.21875" style="1123" customWidth="1"/>
    <col min="15122" max="15122" width="15.6640625" style="1123" customWidth="1"/>
    <col min="15123" max="15123" width="15.88671875" style="1123" customWidth="1"/>
    <col min="15124" max="15124" width="16.88671875" style="1123" customWidth="1"/>
    <col min="15125" max="15125" width="19.6640625" style="1123" customWidth="1"/>
    <col min="15126" max="15126" width="20.5546875" style="1123" customWidth="1"/>
    <col min="15127" max="15127" width="18.33203125" style="1123" customWidth="1"/>
    <col min="15128" max="15128" width="18" style="1123" customWidth="1"/>
    <col min="15129" max="15360" width="9.109375" style="1123"/>
    <col min="15361" max="15361" width="13.77734375" style="1123" customWidth="1"/>
    <col min="15362" max="15362" width="11.109375" style="1123" customWidth="1"/>
    <col min="15363" max="15363" width="9.77734375" style="1123" customWidth="1"/>
    <col min="15364" max="15364" width="52.109375" style="1123" customWidth="1"/>
    <col min="15365" max="15365" width="20.6640625" style="1123" customWidth="1"/>
    <col min="15366" max="15366" width="19.44140625" style="1123" customWidth="1"/>
    <col min="15367" max="15367" width="19" style="1123" customWidth="1"/>
    <col min="15368" max="15368" width="16" style="1123" customWidth="1"/>
    <col min="15369" max="15369" width="17.77734375" style="1123" customWidth="1"/>
    <col min="15370" max="15370" width="17.44140625" style="1123" customWidth="1"/>
    <col min="15371" max="15371" width="0" style="1123" hidden="1" customWidth="1"/>
    <col min="15372" max="15372" width="17.109375" style="1123" customWidth="1"/>
    <col min="15373" max="15373" width="17.88671875" style="1123" customWidth="1"/>
    <col min="15374" max="15374" width="17" style="1123" customWidth="1"/>
    <col min="15375" max="15375" width="16.88671875" style="1123" customWidth="1"/>
    <col min="15376" max="15376" width="16" style="1123" customWidth="1"/>
    <col min="15377" max="15377" width="14.21875" style="1123" customWidth="1"/>
    <col min="15378" max="15378" width="15.6640625" style="1123" customWidth="1"/>
    <col min="15379" max="15379" width="15.88671875" style="1123" customWidth="1"/>
    <col min="15380" max="15380" width="16.88671875" style="1123" customWidth="1"/>
    <col min="15381" max="15381" width="19.6640625" style="1123" customWidth="1"/>
    <col min="15382" max="15382" width="20.5546875" style="1123" customWidth="1"/>
    <col min="15383" max="15383" width="18.33203125" style="1123" customWidth="1"/>
    <col min="15384" max="15384" width="18" style="1123" customWidth="1"/>
    <col min="15385" max="15616" width="9.109375" style="1123"/>
    <col min="15617" max="15617" width="13.77734375" style="1123" customWidth="1"/>
    <col min="15618" max="15618" width="11.109375" style="1123" customWidth="1"/>
    <col min="15619" max="15619" width="9.77734375" style="1123" customWidth="1"/>
    <col min="15620" max="15620" width="52.109375" style="1123" customWidth="1"/>
    <col min="15621" max="15621" width="20.6640625" style="1123" customWidth="1"/>
    <col min="15622" max="15622" width="19.44140625" style="1123" customWidth="1"/>
    <col min="15623" max="15623" width="19" style="1123" customWidth="1"/>
    <col min="15624" max="15624" width="16" style="1123" customWidth="1"/>
    <col min="15625" max="15625" width="17.77734375" style="1123" customWidth="1"/>
    <col min="15626" max="15626" width="17.44140625" style="1123" customWidth="1"/>
    <col min="15627" max="15627" width="0" style="1123" hidden="1" customWidth="1"/>
    <col min="15628" max="15628" width="17.109375" style="1123" customWidth="1"/>
    <col min="15629" max="15629" width="17.88671875" style="1123" customWidth="1"/>
    <col min="15630" max="15630" width="17" style="1123" customWidth="1"/>
    <col min="15631" max="15631" width="16.88671875" style="1123" customWidth="1"/>
    <col min="15632" max="15632" width="16" style="1123" customWidth="1"/>
    <col min="15633" max="15633" width="14.21875" style="1123" customWidth="1"/>
    <col min="15634" max="15634" width="15.6640625" style="1123" customWidth="1"/>
    <col min="15635" max="15635" width="15.88671875" style="1123" customWidth="1"/>
    <col min="15636" max="15636" width="16.88671875" style="1123" customWidth="1"/>
    <col min="15637" max="15637" width="19.6640625" style="1123" customWidth="1"/>
    <col min="15638" max="15638" width="20.5546875" style="1123" customWidth="1"/>
    <col min="15639" max="15639" width="18.33203125" style="1123" customWidth="1"/>
    <col min="15640" max="15640" width="18" style="1123" customWidth="1"/>
    <col min="15641" max="15872" width="9.109375" style="1123"/>
    <col min="15873" max="15873" width="13.77734375" style="1123" customWidth="1"/>
    <col min="15874" max="15874" width="11.109375" style="1123" customWidth="1"/>
    <col min="15875" max="15875" width="9.77734375" style="1123" customWidth="1"/>
    <col min="15876" max="15876" width="52.109375" style="1123" customWidth="1"/>
    <col min="15877" max="15877" width="20.6640625" style="1123" customWidth="1"/>
    <col min="15878" max="15878" width="19.44140625" style="1123" customWidth="1"/>
    <col min="15879" max="15879" width="19" style="1123" customWidth="1"/>
    <col min="15880" max="15880" width="16" style="1123" customWidth="1"/>
    <col min="15881" max="15881" width="17.77734375" style="1123" customWidth="1"/>
    <col min="15882" max="15882" width="17.44140625" style="1123" customWidth="1"/>
    <col min="15883" max="15883" width="0" style="1123" hidden="1" customWidth="1"/>
    <col min="15884" max="15884" width="17.109375" style="1123" customWidth="1"/>
    <col min="15885" max="15885" width="17.88671875" style="1123" customWidth="1"/>
    <col min="15886" max="15886" width="17" style="1123" customWidth="1"/>
    <col min="15887" max="15887" width="16.88671875" style="1123" customWidth="1"/>
    <col min="15888" max="15888" width="16" style="1123" customWidth="1"/>
    <col min="15889" max="15889" width="14.21875" style="1123" customWidth="1"/>
    <col min="15890" max="15890" width="15.6640625" style="1123" customWidth="1"/>
    <col min="15891" max="15891" width="15.88671875" style="1123" customWidth="1"/>
    <col min="15892" max="15892" width="16.88671875" style="1123" customWidth="1"/>
    <col min="15893" max="15893" width="19.6640625" style="1123" customWidth="1"/>
    <col min="15894" max="15894" width="20.5546875" style="1123" customWidth="1"/>
    <col min="15895" max="15895" width="18.33203125" style="1123" customWidth="1"/>
    <col min="15896" max="15896" width="18" style="1123" customWidth="1"/>
    <col min="15897" max="16128" width="9.109375" style="1123"/>
    <col min="16129" max="16129" width="13.77734375" style="1123" customWidth="1"/>
    <col min="16130" max="16130" width="11.109375" style="1123" customWidth="1"/>
    <col min="16131" max="16131" width="9.77734375" style="1123" customWidth="1"/>
    <col min="16132" max="16132" width="52.109375" style="1123" customWidth="1"/>
    <col min="16133" max="16133" width="20.6640625" style="1123" customWidth="1"/>
    <col min="16134" max="16134" width="19.44140625" style="1123" customWidth="1"/>
    <col min="16135" max="16135" width="19" style="1123" customWidth="1"/>
    <col min="16136" max="16136" width="16" style="1123" customWidth="1"/>
    <col min="16137" max="16137" width="17.77734375" style="1123" customWidth="1"/>
    <col min="16138" max="16138" width="17.44140625" style="1123" customWidth="1"/>
    <col min="16139" max="16139" width="0" style="1123" hidden="1" customWidth="1"/>
    <col min="16140" max="16140" width="17.109375" style="1123" customWidth="1"/>
    <col min="16141" max="16141" width="17.88671875" style="1123" customWidth="1"/>
    <col min="16142" max="16142" width="17" style="1123" customWidth="1"/>
    <col min="16143" max="16143" width="16.88671875" style="1123" customWidth="1"/>
    <col min="16144" max="16144" width="16" style="1123" customWidth="1"/>
    <col min="16145" max="16145" width="14.21875" style="1123" customWidth="1"/>
    <col min="16146" max="16146" width="15.6640625" style="1123" customWidth="1"/>
    <col min="16147" max="16147" width="15.88671875" style="1123" customWidth="1"/>
    <col min="16148" max="16148" width="16.88671875" style="1123" customWidth="1"/>
    <col min="16149" max="16149" width="19.6640625" style="1123" customWidth="1"/>
    <col min="16150" max="16150" width="20.5546875" style="1123" customWidth="1"/>
    <col min="16151" max="16151" width="18.33203125" style="1123" customWidth="1"/>
    <col min="16152" max="16152" width="18" style="1123" customWidth="1"/>
    <col min="16153" max="16384" width="9.109375" style="1123"/>
  </cols>
  <sheetData>
    <row r="1" spans="1:25" x14ac:dyDescent="0.25">
      <c r="U1" s="1874" t="s">
        <v>864</v>
      </c>
      <c r="V1" s="1875"/>
    </row>
    <row r="2" spans="1:25" ht="88.2" customHeight="1" x14ac:dyDescent="0.25">
      <c r="U2" s="1875"/>
      <c r="V2" s="1875"/>
    </row>
    <row r="3" spans="1:25" ht="46.8" customHeight="1" x14ac:dyDescent="0.25">
      <c r="A3" s="1876" t="s">
        <v>865</v>
      </c>
      <c r="B3" s="1876"/>
      <c r="C3" s="1877"/>
      <c r="D3" s="1877"/>
      <c r="E3" s="1877"/>
      <c r="F3" s="1877"/>
      <c r="G3" s="1877"/>
      <c r="H3" s="1877"/>
      <c r="I3" s="1877"/>
      <c r="J3" s="1877"/>
      <c r="K3" s="1877"/>
      <c r="L3" s="1877"/>
      <c r="M3" s="1877"/>
      <c r="N3" s="1877"/>
      <c r="O3" s="1877"/>
      <c r="P3" s="1877"/>
      <c r="Q3" s="1877"/>
      <c r="R3" s="1877"/>
      <c r="S3" s="1877"/>
      <c r="T3" s="1877"/>
      <c r="U3" s="1877"/>
      <c r="V3" s="1877"/>
    </row>
    <row r="4" spans="1:25" ht="22.8" x14ac:dyDescent="0.25">
      <c r="A4" s="1125">
        <v>2357600000</v>
      </c>
      <c r="B4" s="1126"/>
      <c r="C4" s="1127"/>
      <c r="D4" s="1127"/>
      <c r="E4" s="1127"/>
      <c r="F4" s="1127"/>
      <c r="G4" s="1127"/>
      <c r="H4" s="1127"/>
      <c r="I4" s="1127"/>
      <c r="J4" s="1127"/>
      <c r="K4" s="1127"/>
      <c r="L4" s="1127"/>
      <c r="M4" s="1127"/>
      <c r="N4" s="1127"/>
      <c r="O4" s="1127"/>
      <c r="P4" s="1127"/>
      <c r="Q4" s="1127"/>
      <c r="R4" s="1127"/>
      <c r="S4" s="1127"/>
      <c r="T4" s="1127"/>
      <c r="U4" s="1128"/>
      <c r="V4" s="1127"/>
    </row>
    <row r="5" spans="1:25" ht="14.25" customHeight="1" x14ac:dyDescent="0.25">
      <c r="A5" s="1129" t="s">
        <v>691</v>
      </c>
      <c r="B5" s="1126"/>
      <c r="C5" s="1127"/>
      <c r="D5" s="1127"/>
      <c r="E5" s="1127"/>
      <c r="F5" s="1127"/>
      <c r="G5" s="1127"/>
      <c r="H5" s="1127"/>
      <c r="I5" s="1127"/>
      <c r="J5" s="1127"/>
      <c r="K5" s="1127"/>
      <c r="L5" s="1127"/>
      <c r="M5" s="1127"/>
      <c r="N5" s="1127"/>
      <c r="O5" s="1127"/>
      <c r="P5" s="1127"/>
      <c r="Q5" s="1127"/>
      <c r="R5" s="1127"/>
      <c r="S5" s="1127"/>
      <c r="T5" s="1127"/>
      <c r="U5" s="1128"/>
      <c r="V5" s="1127"/>
    </row>
    <row r="6" spans="1:25" ht="9" customHeight="1" x14ac:dyDescent="0.35">
      <c r="A6" s="1130"/>
      <c r="B6" s="1131"/>
      <c r="C6" s="1132"/>
      <c r="D6" s="1132"/>
      <c r="E6" s="1133"/>
      <c r="F6" s="1132"/>
      <c r="G6" s="1134"/>
      <c r="H6" s="1134"/>
      <c r="I6" s="1134"/>
      <c r="J6" s="1132"/>
      <c r="K6" s="1132"/>
      <c r="L6" s="1132"/>
      <c r="M6" s="1135"/>
      <c r="N6" s="1136"/>
      <c r="O6" s="1136"/>
      <c r="P6" s="1136"/>
      <c r="Q6" s="1136"/>
      <c r="R6" s="1136"/>
      <c r="S6" s="1136"/>
      <c r="T6" s="1136"/>
      <c r="U6" s="1137"/>
      <c r="V6" s="1138" t="s">
        <v>692</v>
      </c>
    </row>
    <row r="7" spans="1:25" ht="15" customHeight="1" x14ac:dyDescent="0.25">
      <c r="A7" s="1878" t="s">
        <v>866</v>
      </c>
      <c r="B7" s="1878" t="s">
        <v>867</v>
      </c>
      <c r="C7" s="1881" t="s">
        <v>868</v>
      </c>
      <c r="D7" s="1860" t="s">
        <v>869</v>
      </c>
      <c r="E7" s="1857" t="s">
        <v>2</v>
      </c>
      <c r="F7" s="1857"/>
      <c r="G7" s="1857"/>
      <c r="H7" s="1857"/>
      <c r="I7" s="1857"/>
      <c r="J7" s="1857"/>
      <c r="K7" s="1857"/>
      <c r="L7" s="1857"/>
      <c r="M7" s="1882" t="s">
        <v>3</v>
      </c>
      <c r="N7" s="1883"/>
      <c r="O7" s="1883"/>
      <c r="P7" s="1883"/>
      <c r="Q7" s="1883"/>
      <c r="R7" s="1883"/>
      <c r="S7" s="1883"/>
      <c r="T7" s="1883"/>
      <c r="U7" s="1870"/>
      <c r="V7" s="1884" t="s">
        <v>870</v>
      </c>
    </row>
    <row r="8" spans="1:25" ht="16.5" customHeight="1" x14ac:dyDescent="0.25">
      <c r="A8" s="1879"/>
      <c r="B8" s="1879"/>
      <c r="C8" s="1881"/>
      <c r="D8" s="1860"/>
      <c r="E8" s="1871" t="s">
        <v>695</v>
      </c>
      <c r="F8" s="1864" t="s">
        <v>871</v>
      </c>
      <c r="G8" s="1868" t="s">
        <v>872</v>
      </c>
      <c r="H8" s="1869"/>
      <c r="I8" s="1869"/>
      <c r="J8" s="1869"/>
      <c r="K8" s="1870"/>
      <c r="L8" s="1864" t="s">
        <v>873</v>
      </c>
      <c r="M8" s="1871" t="s">
        <v>695</v>
      </c>
      <c r="N8" s="1858" t="s">
        <v>833</v>
      </c>
      <c r="O8" s="1864" t="s">
        <v>871</v>
      </c>
      <c r="P8" s="1860" t="s">
        <v>872</v>
      </c>
      <c r="Q8" s="1860"/>
      <c r="R8" s="1860"/>
      <c r="S8" s="1860"/>
      <c r="T8" s="1864" t="s">
        <v>873</v>
      </c>
      <c r="U8" s="1865" t="s">
        <v>872</v>
      </c>
      <c r="V8" s="1884"/>
    </row>
    <row r="9" spans="1:25" x14ac:dyDescent="0.25">
      <c r="A9" s="1879"/>
      <c r="B9" s="1879"/>
      <c r="C9" s="1881"/>
      <c r="D9" s="1860"/>
      <c r="E9" s="1871"/>
      <c r="F9" s="1864"/>
      <c r="G9" s="1860" t="s">
        <v>874</v>
      </c>
      <c r="H9" s="1858" t="s">
        <v>875</v>
      </c>
      <c r="I9" s="1858" t="s">
        <v>876</v>
      </c>
      <c r="J9" s="1860" t="s">
        <v>877</v>
      </c>
      <c r="K9" s="1867" t="s">
        <v>268</v>
      </c>
      <c r="L9" s="1864"/>
      <c r="M9" s="1871"/>
      <c r="N9" s="1872"/>
      <c r="O9" s="1864"/>
      <c r="P9" s="1860" t="s">
        <v>874</v>
      </c>
      <c r="Q9" s="1858" t="s">
        <v>878</v>
      </c>
      <c r="R9" s="1858" t="s">
        <v>879</v>
      </c>
      <c r="S9" s="1860" t="s">
        <v>877</v>
      </c>
      <c r="T9" s="1864"/>
      <c r="U9" s="1866"/>
      <c r="V9" s="1884"/>
    </row>
    <row r="10" spans="1:25" ht="60.75" customHeight="1" x14ac:dyDescent="0.25">
      <c r="A10" s="1880"/>
      <c r="B10" s="1880"/>
      <c r="C10" s="1881"/>
      <c r="D10" s="1860"/>
      <c r="E10" s="1871"/>
      <c r="F10" s="1864"/>
      <c r="G10" s="1860"/>
      <c r="H10" s="1859"/>
      <c r="I10" s="1859"/>
      <c r="J10" s="1860"/>
      <c r="K10" s="1867"/>
      <c r="L10" s="1864"/>
      <c r="M10" s="1871"/>
      <c r="N10" s="1873"/>
      <c r="O10" s="1864"/>
      <c r="P10" s="1860"/>
      <c r="Q10" s="1859"/>
      <c r="R10" s="1859"/>
      <c r="S10" s="1860"/>
      <c r="T10" s="1864"/>
      <c r="U10" s="1139" t="s">
        <v>880</v>
      </c>
      <c r="V10" s="1884"/>
    </row>
    <row r="11" spans="1:25" ht="15.6" x14ac:dyDescent="0.25">
      <c r="A11" s="1140">
        <v>1</v>
      </c>
      <c r="B11" s="1140">
        <v>2</v>
      </c>
      <c r="C11" s="1140">
        <v>3</v>
      </c>
      <c r="D11" s="1140">
        <v>4</v>
      </c>
      <c r="E11" s="1141">
        <v>5</v>
      </c>
      <c r="F11" s="1140">
        <v>6</v>
      </c>
      <c r="G11" s="1140">
        <v>7</v>
      </c>
      <c r="H11" s="1140">
        <v>8</v>
      </c>
      <c r="I11" s="1140">
        <v>9</v>
      </c>
      <c r="J11" s="1140">
        <v>10</v>
      </c>
      <c r="K11" s="1140">
        <v>11</v>
      </c>
      <c r="L11" s="1140">
        <v>11</v>
      </c>
      <c r="M11" s="1141">
        <v>12</v>
      </c>
      <c r="N11" s="1140">
        <v>13</v>
      </c>
      <c r="O11" s="1140">
        <v>14</v>
      </c>
      <c r="P11" s="1140">
        <v>15</v>
      </c>
      <c r="Q11" s="1140">
        <v>16</v>
      </c>
      <c r="R11" s="1140">
        <v>17</v>
      </c>
      <c r="S11" s="1140">
        <v>18</v>
      </c>
      <c r="T11" s="1140">
        <v>19</v>
      </c>
      <c r="U11" s="1140">
        <v>20</v>
      </c>
      <c r="V11" s="1141">
        <v>21</v>
      </c>
    </row>
    <row r="12" spans="1:25" s="1147" customFormat="1" ht="31.95" customHeight="1" x14ac:dyDescent="0.25">
      <c r="A12" s="1142" t="s">
        <v>881</v>
      </c>
      <c r="B12" s="1143"/>
      <c r="C12" s="1142"/>
      <c r="D12" s="1144" t="s">
        <v>882</v>
      </c>
      <c r="E12" s="1145">
        <f t="shared" ref="E12:U12" si="0">E13</f>
        <v>1559161810</v>
      </c>
      <c r="F12" s="1145">
        <f t="shared" si="0"/>
        <v>1555995443</v>
      </c>
      <c r="G12" s="1145">
        <f t="shared" si="0"/>
        <v>762987720</v>
      </c>
      <c r="H12" s="1145">
        <f t="shared" si="0"/>
        <v>401677</v>
      </c>
      <c r="I12" s="1145">
        <f t="shared" si="0"/>
        <v>211584787</v>
      </c>
      <c r="J12" s="1145">
        <f t="shared" si="0"/>
        <v>220306187</v>
      </c>
      <c r="K12" s="1145">
        <f t="shared" si="0"/>
        <v>360715072</v>
      </c>
      <c r="L12" s="1145">
        <f t="shared" si="0"/>
        <v>3166367</v>
      </c>
      <c r="M12" s="1145">
        <f t="shared" si="0"/>
        <v>146150408</v>
      </c>
      <c r="N12" s="1145">
        <f t="shared" si="0"/>
        <v>0</v>
      </c>
      <c r="O12" s="1145">
        <f t="shared" si="0"/>
        <v>145136233</v>
      </c>
      <c r="P12" s="1145">
        <f t="shared" si="0"/>
        <v>24290576</v>
      </c>
      <c r="Q12" s="1145">
        <f t="shared" si="0"/>
        <v>39314</v>
      </c>
      <c r="R12" s="1145">
        <f t="shared" si="0"/>
        <v>91070314</v>
      </c>
      <c r="S12" s="1145">
        <f t="shared" si="0"/>
        <v>8729962</v>
      </c>
      <c r="T12" s="1145">
        <f t="shared" si="0"/>
        <v>1014175</v>
      </c>
      <c r="U12" s="1146">
        <f t="shared" si="0"/>
        <v>0</v>
      </c>
      <c r="V12" s="1145">
        <f t="shared" ref="V12:V48" si="1">M12+E12</f>
        <v>1705312218</v>
      </c>
    </row>
    <row r="13" spans="1:25" s="1147" customFormat="1" ht="34.950000000000003" customHeight="1" x14ac:dyDescent="0.25">
      <c r="A13" s="1142" t="s">
        <v>883</v>
      </c>
      <c r="B13" s="1143"/>
      <c r="C13" s="1142"/>
      <c r="D13" s="1144" t="s">
        <v>882</v>
      </c>
      <c r="E13" s="1145">
        <f>E14+E15+E90+E98+E105+E124+E123+E134+E141+E142+E136</f>
        <v>1559161810</v>
      </c>
      <c r="F13" s="1145">
        <f t="shared" ref="F13:K13" si="2">F14+F15+F90+F98+F105+F124+F134+F141+F142</f>
        <v>1555995443</v>
      </c>
      <c r="G13" s="1145">
        <f t="shared" si="2"/>
        <v>762987720</v>
      </c>
      <c r="H13" s="1145">
        <f t="shared" si="2"/>
        <v>401677</v>
      </c>
      <c r="I13" s="1145">
        <f t="shared" si="2"/>
        <v>211584787</v>
      </c>
      <c r="J13" s="1145">
        <f t="shared" si="2"/>
        <v>220306187</v>
      </c>
      <c r="K13" s="1145">
        <f t="shared" si="2"/>
        <v>360715072</v>
      </c>
      <c r="L13" s="1145">
        <f>L14+L15+L90+L98+L105+L124+L134+L141+L142+L123+L136</f>
        <v>3166367</v>
      </c>
      <c r="M13" s="1145">
        <f>M14+M15+M90+M98+M105+M123+M127+M137+M124+M128+M132+M120+M122+M142+M131+M141+M134+M139+M130</f>
        <v>146150408</v>
      </c>
      <c r="N13" s="1145">
        <f>N14+N15+N90+N98+N105+N124+N123+N127+N128+N142+N137+N132+N120+N122+N131+N141+N134+N139+N130</f>
        <v>0</v>
      </c>
      <c r="O13" s="1145">
        <f>O14+O15+O90+O98+O105+O124+O123+O127+O128+O142+O137+O132</f>
        <v>145136233</v>
      </c>
      <c r="P13" s="1145">
        <f>P14+P15+P90+P98+P105+P124+P123+P127+P128+P142+P137+P132</f>
        <v>24290576</v>
      </c>
      <c r="Q13" s="1145">
        <f>Q14+Q15+Q90+Q98+Q105+Q124+Q123+Q127+Q128+Q142+Q137+Q132</f>
        <v>39314</v>
      </c>
      <c r="R13" s="1145">
        <f>R14+R15+R90+R98+R105+R124+R123+R127+R128+R142+R137+R132</f>
        <v>91070314</v>
      </c>
      <c r="S13" s="1145">
        <f>S14+S15+S90+S98+S105+S124+S123+S127+S128+S142+S137+S132</f>
        <v>8729962</v>
      </c>
      <c r="T13" s="1145">
        <f>T15+T14+T90+T98+T105+T123+T127+T137+T124+T128+T132+T120+T122+T142+T131+T141+T134+T139+T130</f>
        <v>1014175</v>
      </c>
      <c r="U13" s="1146">
        <f>U15+U14+U90+U98+U105+U123+U127+U137+U124+U128+U132+U120+U122+U142+U131+U141+U134+U139</f>
        <v>0</v>
      </c>
      <c r="V13" s="1145">
        <f>M13+E13</f>
        <v>1705312218</v>
      </c>
      <c r="X13" s="1148"/>
      <c r="Y13" s="1149"/>
    </row>
    <row r="14" spans="1:25" ht="48" customHeight="1" x14ac:dyDescent="0.25">
      <c r="A14" s="1150" t="s">
        <v>884</v>
      </c>
      <c r="B14" s="1151" t="s">
        <v>273</v>
      </c>
      <c r="C14" s="1151" t="s">
        <v>885</v>
      </c>
      <c r="D14" s="1152" t="s">
        <v>886</v>
      </c>
      <c r="E14" s="1145">
        <f>F14</f>
        <v>22381346</v>
      </c>
      <c r="F14" s="1153">
        <f>SUM(G14:K14)</f>
        <v>22381346</v>
      </c>
      <c r="G14" s="1153">
        <v>18766552</v>
      </c>
      <c r="H14" s="1153"/>
      <c r="I14" s="1153"/>
      <c r="J14" s="1153"/>
      <c r="K14" s="1153">
        <f>22381346-18766552</f>
        <v>3614794</v>
      </c>
      <c r="L14" s="1153"/>
      <c r="M14" s="1145">
        <f>O14+T14</f>
        <v>0</v>
      </c>
      <c r="N14" s="1153"/>
      <c r="O14" s="1153"/>
      <c r="P14" s="1153"/>
      <c r="Q14" s="1153"/>
      <c r="R14" s="1153"/>
      <c r="S14" s="1153"/>
      <c r="T14" s="1153"/>
      <c r="U14" s="1154"/>
      <c r="V14" s="1145">
        <f t="shared" si="1"/>
        <v>22381346</v>
      </c>
    </row>
    <row r="15" spans="1:25" ht="15.6" x14ac:dyDescent="0.25">
      <c r="A15" s="1150" t="s">
        <v>887</v>
      </c>
      <c r="B15" s="1155">
        <v>1000</v>
      </c>
      <c r="C15" s="1150" t="s">
        <v>887</v>
      </c>
      <c r="D15" s="1156" t="s">
        <v>278</v>
      </c>
      <c r="E15" s="1145">
        <f>F15</f>
        <v>1350582440</v>
      </c>
      <c r="F15" s="1157">
        <f>F30+F32+F45+F52+F54+F59+F61+F64+F69+F70+F76+F72+F49+F63+F78+F74+F73+F84+F88</f>
        <v>1350582440</v>
      </c>
      <c r="G15" s="1157">
        <f t="shared" ref="G15:L15" si="3">G30+G32+G45+G52+G54+G59+G61+G64+G69+G70+G76+G72+G49+G63+G78+G74+G73</f>
        <v>666421991</v>
      </c>
      <c r="H15" s="1157">
        <f t="shared" si="3"/>
        <v>381849</v>
      </c>
      <c r="I15" s="1157">
        <f>I30+I32+I45+I52+I54+I59+I61+I64+I69+I70+I76+I72+I49+I63+I78+I74+I73+I88</f>
        <v>211584787</v>
      </c>
      <c r="J15" s="1157">
        <f t="shared" si="3"/>
        <v>208970222</v>
      </c>
      <c r="K15" s="1157">
        <f>K30+K32+K45+K52+K54+K59+K61+K64+K69+K70+K76+K72+K49+K63+K78+K74+K73+K84</f>
        <v>263223591</v>
      </c>
      <c r="L15" s="1157">
        <f t="shared" si="3"/>
        <v>0</v>
      </c>
      <c r="M15" s="1145">
        <f>M30+M32+M52+M54+M55+M58+M64+M40+M69+M76+M59+M49+M63+M78+M73+M74+M82+M85+M84+M81</f>
        <v>145353692</v>
      </c>
      <c r="N15" s="1157">
        <f>N30+N32+N45+N52+N54+N59+N61+N64+N69+N70+N76+N72+N49+N63+N78+N74+N73+N82+N84+N81</f>
        <v>0</v>
      </c>
      <c r="O15" s="1157">
        <f>O30+O32+O45+O52+O54+O59+O61+O64+O69+O70+O76+O72+O49+O63+O78+O74+O73+O85</f>
        <v>144445508</v>
      </c>
      <c r="P15" s="1157">
        <f>P30+P32+P45+P52+P54+P59+P61+P64+P69+P70+P76+P72+P49+P63+P78+P74+P73</f>
        <v>24274976</v>
      </c>
      <c r="Q15" s="1157">
        <f>Q30+Q32+Q45+Q52+Q54+Q59+Q61+Q64+Q69+Q70+Q76+Q72+Q49+Q63+Q78+Q74+Q73</f>
        <v>39314</v>
      </c>
      <c r="R15" s="1157">
        <f>R30+R32+R45+R52+R54+R59+R61+R64+R69+R70+R76+R72+R49+R63+R78+R74+R73</f>
        <v>91070314</v>
      </c>
      <c r="S15" s="1157">
        <f>S30+S32+S45+S52+S54+S59+S61+S64+S69+S70+S76+S72+S49+S63+S78+S74+S73</f>
        <v>8563759</v>
      </c>
      <c r="T15" s="1157">
        <f>T30+T32+T45+T52+T54+T59+T61+T64+T69+T70+T76+T72+T49+T63+T78+T74+T73+T82+T85+T84+T81</f>
        <v>908184</v>
      </c>
      <c r="U15" s="1157">
        <f>U30+U32+U45+U52+U54+U59+U61+U64+U69+U70+U76+U72+U49+U63+U78+U74+U73+U82+U81+U84</f>
        <v>0</v>
      </c>
      <c r="V15" s="1145">
        <f>M15+E15</f>
        <v>1495936132</v>
      </c>
    </row>
    <row r="16" spans="1:25" s="1166" customFormat="1" ht="16.2" hidden="1" x14ac:dyDescent="0.25">
      <c r="A16" s="1150"/>
      <c r="B16" s="1158"/>
      <c r="C16" s="1159"/>
      <c r="D16" s="1160" t="s">
        <v>888</v>
      </c>
      <c r="E16" s="1161">
        <f>F16</f>
        <v>0</v>
      </c>
      <c r="F16" s="1162">
        <f>SUM(G16:K16)</f>
        <v>0</v>
      </c>
      <c r="G16" s="1162">
        <f>G47+G62</f>
        <v>0</v>
      </c>
      <c r="H16" s="1162">
        <f>H47+H62</f>
        <v>0</v>
      </c>
      <c r="I16" s="1162">
        <f>I47+I62</f>
        <v>0</v>
      </c>
      <c r="J16" s="1162">
        <f>J47+J62</f>
        <v>0</v>
      </c>
      <c r="K16" s="1162">
        <f>K47+K62</f>
        <v>0</v>
      </c>
      <c r="L16" s="1162">
        <f>L46-L48</f>
        <v>0</v>
      </c>
      <c r="M16" s="1161">
        <f t="shared" ref="M16:M41" si="4">O16+T16</f>
        <v>0</v>
      </c>
      <c r="N16" s="1163"/>
      <c r="O16" s="1164"/>
      <c r="P16" s="1164"/>
      <c r="Q16" s="1164"/>
      <c r="R16" s="1164"/>
      <c r="S16" s="1164"/>
      <c r="T16" s="1163"/>
      <c r="U16" s="1165"/>
      <c r="V16" s="1161">
        <f t="shared" si="1"/>
        <v>0</v>
      </c>
    </row>
    <row r="17" spans="1:22" s="1166" customFormat="1" ht="63" hidden="1" customHeight="1" x14ac:dyDescent="0.25">
      <c r="A17" s="1150"/>
      <c r="B17" s="1158"/>
      <c r="C17" s="1159"/>
      <c r="D17" s="1160" t="s">
        <v>889</v>
      </c>
      <c r="E17" s="1161">
        <f>F17</f>
        <v>0</v>
      </c>
      <c r="F17" s="1162">
        <f>F75</f>
        <v>0</v>
      </c>
      <c r="G17" s="1162"/>
      <c r="H17" s="1162">
        <f>H77</f>
        <v>0</v>
      </c>
      <c r="I17" s="1162">
        <f>I77</f>
        <v>0</v>
      </c>
      <c r="J17" s="1162">
        <f>J77</f>
        <v>0</v>
      </c>
      <c r="K17" s="1162">
        <f>K75</f>
        <v>0</v>
      </c>
      <c r="L17" s="1162">
        <f>L77</f>
        <v>0</v>
      </c>
      <c r="M17" s="1161">
        <f t="shared" si="4"/>
        <v>0</v>
      </c>
      <c r="N17" s="1162">
        <f t="shared" ref="N17:U17" si="5">N31+N36</f>
        <v>0</v>
      </c>
      <c r="O17" s="1162">
        <f t="shared" si="5"/>
        <v>0</v>
      </c>
      <c r="P17" s="1162">
        <f t="shared" si="5"/>
        <v>0</v>
      </c>
      <c r="Q17" s="1162">
        <f t="shared" si="5"/>
        <v>0</v>
      </c>
      <c r="R17" s="1162">
        <f t="shared" si="5"/>
        <v>0</v>
      </c>
      <c r="S17" s="1162">
        <f t="shared" si="5"/>
        <v>0</v>
      </c>
      <c r="T17" s="1162">
        <f t="shared" si="5"/>
        <v>0</v>
      </c>
      <c r="U17" s="1162">
        <f t="shared" si="5"/>
        <v>0</v>
      </c>
      <c r="V17" s="1161">
        <f t="shared" si="1"/>
        <v>0</v>
      </c>
    </row>
    <row r="18" spans="1:22" s="1166" customFormat="1" ht="16.2" hidden="1" x14ac:dyDescent="0.25">
      <c r="A18" s="1150"/>
      <c r="B18" s="1158"/>
      <c r="C18" s="1159"/>
      <c r="D18" s="1160" t="s">
        <v>890</v>
      </c>
      <c r="E18" s="1161">
        <f>F18+L18</f>
        <v>0</v>
      </c>
      <c r="F18" s="1162">
        <f>F43+F60+F66</f>
        <v>0</v>
      </c>
      <c r="G18" s="1162"/>
      <c r="H18" s="1162"/>
      <c r="I18" s="1162"/>
      <c r="J18" s="1162">
        <f>J43+J60+J66</f>
        <v>0</v>
      </c>
      <c r="K18" s="1162"/>
      <c r="L18" s="1162"/>
      <c r="M18" s="1161">
        <f t="shared" si="4"/>
        <v>0</v>
      </c>
      <c r="N18" s="1163">
        <f>T18</f>
        <v>0</v>
      </c>
      <c r="O18" s="1163"/>
      <c r="P18" s="1163"/>
      <c r="Q18" s="1163"/>
      <c r="R18" s="1163"/>
      <c r="S18" s="1163"/>
      <c r="T18" s="1163">
        <f>T51</f>
        <v>0</v>
      </c>
      <c r="U18" s="1165">
        <f>U51</f>
        <v>0</v>
      </c>
      <c r="V18" s="1161">
        <f t="shared" si="1"/>
        <v>0</v>
      </c>
    </row>
    <row r="19" spans="1:22" s="1166" customFormat="1" ht="50.4" hidden="1" customHeight="1" x14ac:dyDescent="0.25">
      <c r="A19" s="1150"/>
      <c r="B19" s="1158"/>
      <c r="C19" s="1159"/>
      <c r="D19" s="1160" t="s">
        <v>891</v>
      </c>
      <c r="E19" s="1161">
        <f>F19+L19</f>
        <v>0</v>
      </c>
      <c r="F19" s="1162">
        <f>F51+F71</f>
        <v>0</v>
      </c>
      <c r="G19" s="1162">
        <f>G48+G71</f>
        <v>0</v>
      </c>
      <c r="H19" s="1162">
        <f>H48+H71</f>
        <v>0</v>
      </c>
      <c r="I19" s="1162">
        <f>I48+I71</f>
        <v>0</v>
      </c>
      <c r="J19" s="1162">
        <f>J48+J71</f>
        <v>0</v>
      </c>
      <c r="K19" s="1162">
        <f>K51+K71</f>
        <v>0</v>
      </c>
      <c r="L19" s="1162">
        <f>L48+L71</f>
        <v>0</v>
      </c>
      <c r="M19" s="1161">
        <f t="shared" si="4"/>
        <v>0</v>
      </c>
      <c r="N19" s="1163"/>
      <c r="O19" s="1163"/>
      <c r="P19" s="1163"/>
      <c r="Q19" s="1163"/>
      <c r="R19" s="1163"/>
      <c r="S19" s="1163"/>
      <c r="T19" s="1163"/>
      <c r="U19" s="1165"/>
      <c r="V19" s="1161">
        <f t="shared" si="1"/>
        <v>0</v>
      </c>
    </row>
    <row r="20" spans="1:22" s="1166" customFormat="1" ht="73.2" hidden="1" customHeight="1" x14ac:dyDescent="0.25">
      <c r="A20" s="1150"/>
      <c r="B20" s="1158"/>
      <c r="C20" s="1159"/>
      <c r="D20" s="1160" t="s">
        <v>892</v>
      </c>
      <c r="E20" s="1161">
        <f>F20+L20</f>
        <v>0</v>
      </c>
      <c r="F20" s="1162">
        <f t="shared" ref="F20:K20" si="6">F80</f>
        <v>0</v>
      </c>
      <c r="G20" s="1162">
        <f t="shared" si="6"/>
        <v>0</v>
      </c>
      <c r="H20" s="1162">
        <f t="shared" si="6"/>
        <v>0</v>
      </c>
      <c r="I20" s="1162">
        <f t="shared" si="6"/>
        <v>0</v>
      </c>
      <c r="J20" s="1162">
        <f t="shared" si="6"/>
        <v>0</v>
      </c>
      <c r="K20" s="1162">
        <f t="shared" si="6"/>
        <v>0</v>
      </c>
      <c r="L20" s="1162">
        <f>L75</f>
        <v>0</v>
      </c>
      <c r="M20" s="1161">
        <f t="shared" si="4"/>
        <v>0</v>
      </c>
      <c r="N20" s="1162">
        <f>N75</f>
        <v>0</v>
      </c>
      <c r="O20" s="1162">
        <f t="shared" ref="O20:U20" si="7">O75</f>
        <v>0</v>
      </c>
      <c r="P20" s="1162">
        <f t="shared" si="7"/>
        <v>0</v>
      </c>
      <c r="Q20" s="1162">
        <f t="shared" si="7"/>
        <v>0</v>
      </c>
      <c r="R20" s="1162">
        <f t="shared" si="7"/>
        <v>0</v>
      </c>
      <c r="S20" s="1162">
        <f t="shared" si="7"/>
        <v>0</v>
      </c>
      <c r="T20" s="1162">
        <f t="shared" si="7"/>
        <v>0</v>
      </c>
      <c r="U20" s="1167">
        <f t="shared" si="7"/>
        <v>0</v>
      </c>
      <c r="V20" s="1161">
        <f t="shared" si="1"/>
        <v>0</v>
      </c>
    </row>
    <row r="21" spans="1:22" s="1166" customFormat="1" ht="64.8" hidden="1" customHeight="1" x14ac:dyDescent="0.25">
      <c r="A21" s="1150"/>
      <c r="B21" s="1158"/>
      <c r="C21" s="1159"/>
      <c r="D21" s="1160" t="s">
        <v>893</v>
      </c>
      <c r="E21" s="1161">
        <f>F21+L21</f>
        <v>0</v>
      </c>
      <c r="F21" s="1162">
        <f t="shared" ref="F21:K21" si="8">F77</f>
        <v>0</v>
      </c>
      <c r="G21" s="1162">
        <f t="shared" si="8"/>
        <v>0</v>
      </c>
      <c r="H21" s="1162">
        <f t="shared" si="8"/>
        <v>0</v>
      </c>
      <c r="I21" s="1162">
        <f t="shared" si="8"/>
        <v>0</v>
      </c>
      <c r="J21" s="1162">
        <f t="shared" si="8"/>
        <v>0</v>
      </c>
      <c r="K21" s="1162">
        <f t="shared" si="8"/>
        <v>0</v>
      </c>
      <c r="L21" s="1162"/>
      <c r="M21" s="1161"/>
      <c r="N21" s="1162"/>
      <c r="O21" s="1162"/>
      <c r="P21" s="1162"/>
      <c r="Q21" s="1162"/>
      <c r="R21" s="1162"/>
      <c r="S21" s="1162"/>
      <c r="T21" s="1162"/>
      <c r="U21" s="1167"/>
      <c r="V21" s="1161">
        <f t="shared" si="1"/>
        <v>0</v>
      </c>
    </row>
    <row r="22" spans="1:22" s="1166" customFormat="1" ht="83.4" hidden="1" customHeight="1" x14ac:dyDescent="0.25">
      <c r="A22" s="1150"/>
      <c r="B22" s="1158"/>
      <c r="C22" s="1159"/>
      <c r="D22" s="1160" t="s">
        <v>892</v>
      </c>
      <c r="E22" s="1161">
        <f>F22+L22</f>
        <v>0</v>
      </c>
      <c r="F22" s="1162">
        <f t="shared" ref="F22:K22" si="9">F80</f>
        <v>0</v>
      </c>
      <c r="G22" s="1162">
        <f t="shared" si="9"/>
        <v>0</v>
      </c>
      <c r="H22" s="1162">
        <f t="shared" si="9"/>
        <v>0</v>
      </c>
      <c r="I22" s="1162">
        <f t="shared" si="9"/>
        <v>0</v>
      </c>
      <c r="J22" s="1162">
        <f t="shared" si="9"/>
        <v>0</v>
      </c>
      <c r="K22" s="1162">
        <f t="shared" si="9"/>
        <v>0</v>
      </c>
      <c r="L22" s="1162"/>
      <c r="M22" s="1161"/>
      <c r="N22" s="1162"/>
      <c r="O22" s="1162"/>
      <c r="P22" s="1162"/>
      <c r="Q22" s="1162"/>
      <c r="R22" s="1162"/>
      <c r="S22" s="1162"/>
      <c r="T22" s="1162"/>
      <c r="U22" s="1167"/>
      <c r="V22" s="1161">
        <f t="shared" si="1"/>
        <v>0</v>
      </c>
    </row>
    <row r="23" spans="1:22" s="1166" customFormat="1" ht="49.2" hidden="1" customHeight="1" x14ac:dyDescent="0.25">
      <c r="A23" s="1150"/>
      <c r="B23" s="1158"/>
      <c r="C23" s="1159"/>
      <c r="D23" s="1160" t="s">
        <v>894</v>
      </c>
      <c r="E23" s="1161"/>
      <c r="F23" s="1162"/>
      <c r="G23" s="1162"/>
      <c r="H23" s="1162"/>
      <c r="I23" s="1162"/>
      <c r="J23" s="1162"/>
      <c r="K23" s="1162"/>
      <c r="L23" s="1162"/>
      <c r="M23" s="1161">
        <f>O23+T23</f>
        <v>0</v>
      </c>
      <c r="N23" s="1162"/>
      <c r="O23" s="1162">
        <f>O86</f>
        <v>0</v>
      </c>
      <c r="P23" s="1162"/>
      <c r="Q23" s="1162"/>
      <c r="R23" s="1162"/>
      <c r="S23" s="1162"/>
      <c r="T23" s="1162">
        <f>T86</f>
        <v>0</v>
      </c>
      <c r="U23" s="1167"/>
      <c r="V23" s="1161">
        <f>M23</f>
        <v>0</v>
      </c>
    </row>
    <row r="24" spans="1:22" s="1166" customFormat="1" ht="83.4" hidden="1" customHeight="1" x14ac:dyDescent="0.25">
      <c r="A24" s="1159"/>
      <c r="B24" s="1158"/>
      <c r="C24" s="1168"/>
      <c r="D24" s="1160" t="s">
        <v>895</v>
      </c>
      <c r="E24" s="1161"/>
      <c r="F24" s="1163"/>
      <c r="G24" s="1163"/>
      <c r="H24" s="1163"/>
      <c r="I24" s="1163"/>
      <c r="J24" s="1163"/>
      <c r="K24" s="1163"/>
      <c r="L24" s="1163"/>
      <c r="M24" s="1161">
        <f>T24</f>
        <v>0</v>
      </c>
      <c r="N24" s="1163">
        <f>N83</f>
        <v>0</v>
      </c>
      <c r="O24" s="1163"/>
      <c r="P24" s="1163"/>
      <c r="Q24" s="1163"/>
      <c r="R24" s="1163"/>
      <c r="S24" s="1163"/>
      <c r="T24" s="1163">
        <f>T83</f>
        <v>0</v>
      </c>
      <c r="U24" s="1163">
        <f>U83</f>
        <v>0</v>
      </c>
      <c r="V24" s="1161">
        <f>M24+E24</f>
        <v>0</v>
      </c>
    </row>
    <row r="25" spans="1:22" s="1166" customFormat="1" ht="56.4" hidden="1" customHeight="1" x14ac:dyDescent="0.25">
      <c r="A25" s="1150"/>
      <c r="B25" s="1158"/>
      <c r="C25" s="1159"/>
      <c r="D25" s="1160" t="s">
        <v>896</v>
      </c>
      <c r="E25" s="1161"/>
      <c r="F25" s="1162"/>
      <c r="G25" s="1162"/>
      <c r="H25" s="1162"/>
      <c r="I25" s="1162"/>
      <c r="J25" s="1162"/>
      <c r="K25" s="1162"/>
      <c r="L25" s="1162"/>
      <c r="M25" s="1161">
        <f>O25+T25</f>
        <v>0</v>
      </c>
      <c r="N25" s="1162"/>
      <c r="O25" s="1162">
        <f>O87</f>
        <v>0</v>
      </c>
      <c r="P25" s="1162"/>
      <c r="Q25" s="1162"/>
      <c r="R25" s="1162"/>
      <c r="S25" s="1162"/>
      <c r="T25" s="1162">
        <f>T87</f>
        <v>0</v>
      </c>
      <c r="U25" s="1167"/>
      <c r="V25" s="1161">
        <f>M25</f>
        <v>0</v>
      </c>
    </row>
    <row r="26" spans="1:22" s="1166" customFormat="1" ht="54" hidden="1" customHeight="1" x14ac:dyDescent="0.25">
      <c r="A26" s="1150"/>
      <c r="B26" s="1158"/>
      <c r="C26" s="1159"/>
      <c r="D26" s="1160" t="s">
        <v>897</v>
      </c>
      <c r="E26" s="1161">
        <f>F26+L26</f>
        <v>0</v>
      </c>
      <c r="F26" s="1162">
        <f>G26+K26</f>
        <v>0</v>
      </c>
      <c r="G26" s="1162">
        <f>G42</f>
        <v>0</v>
      </c>
      <c r="H26" s="1162">
        <f>H42</f>
        <v>0</v>
      </c>
      <c r="I26" s="1162">
        <f>I42</f>
        <v>0</v>
      </c>
      <c r="J26" s="1162">
        <f>J42</f>
        <v>0</v>
      </c>
      <c r="K26" s="1162">
        <f>K42</f>
        <v>0</v>
      </c>
      <c r="L26" s="1162"/>
      <c r="M26" s="1161"/>
      <c r="N26" s="1162"/>
      <c r="O26" s="1162"/>
      <c r="P26" s="1162"/>
      <c r="Q26" s="1162"/>
      <c r="R26" s="1162"/>
      <c r="S26" s="1162"/>
      <c r="T26" s="1162"/>
      <c r="U26" s="1167"/>
      <c r="V26" s="1161">
        <f t="shared" si="1"/>
        <v>0</v>
      </c>
    </row>
    <row r="27" spans="1:22" s="1166" customFormat="1" ht="54" hidden="1" customHeight="1" x14ac:dyDescent="0.25">
      <c r="A27" s="1150"/>
      <c r="B27" s="1158"/>
      <c r="C27" s="1159"/>
      <c r="D27" s="1160" t="s">
        <v>898</v>
      </c>
      <c r="E27" s="1161">
        <f>F27</f>
        <v>0</v>
      </c>
      <c r="F27" s="1162">
        <f t="shared" ref="F27:K27" si="10">F79</f>
        <v>0</v>
      </c>
      <c r="G27" s="1162">
        <f t="shared" si="10"/>
        <v>0</v>
      </c>
      <c r="H27" s="1162">
        <f t="shared" si="10"/>
        <v>0</v>
      </c>
      <c r="I27" s="1162">
        <f t="shared" si="10"/>
        <v>0</v>
      </c>
      <c r="J27" s="1162">
        <f t="shared" si="10"/>
        <v>0</v>
      </c>
      <c r="K27" s="1162">
        <f t="shared" si="10"/>
        <v>0</v>
      </c>
      <c r="L27" s="1162"/>
      <c r="M27" s="1161"/>
      <c r="N27" s="1162"/>
      <c r="O27" s="1162"/>
      <c r="P27" s="1162"/>
      <c r="Q27" s="1162"/>
      <c r="R27" s="1162"/>
      <c r="S27" s="1162"/>
      <c r="T27" s="1162"/>
      <c r="U27" s="1167"/>
      <c r="V27" s="1161">
        <f t="shared" si="1"/>
        <v>0</v>
      </c>
    </row>
    <row r="28" spans="1:22" s="1166" customFormat="1" ht="16.2" hidden="1" x14ac:dyDescent="0.25">
      <c r="A28" s="1150"/>
      <c r="B28" s="1158"/>
      <c r="C28" s="1159"/>
      <c r="D28" s="1160" t="s">
        <v>899</v>
      </c>
      <c r="E28" s="1161">
        <f>F28+L28</f>
        <v>0</v>
      </c>
      <c r="F28" s="1162">
        <f>F68+F44</f>
        <v>0</v>
      </c>
      <c r="G28" s="1162">
        <f t="shared" ref="G28:L28" si="11">G68+G44</f>
        <v>0</v>
      </c>
      <c r="H28" s="1162">
        <f t="shared" si="11"/>
        <v>0</v>
      </c>
      <c r="I28" s="1162">
        <f t="shared" si="11"/>
        <v>0</v>
      </c>
      <c r="J28" s="1162">
        <f t="shared" si="11"/>
        <v>0</v>
      </c>
      <c r="K28" s="1162">
        <f>K68+K44</f>
        <v>0</v>
      </c>
      <c r="L28" s="1162">
        <f t="shared" si="11"/>
        <v>0</v>
      </c>
      <c r="M28" s="1161">
        <f t="shared" si="4"/>
        <v>0</v>
      </c>
      <c r="N28" s="1163">
        <f>N138</f>
        <v>0</v>
      </c>
      <c r="O28" s="1163">
        <f>O31+O44</f>
        <v>0</v>
      </c>
      <c r="P28" s="1163">
        <f>P31+P44</f>
        <v>0</v>
      </c>
      <c r="Q28" s="1163">
        <f>Q31+Q44</f>
        <v>0</v>
      </c>
      <c r="R28" s="1163">
        <f>R31+R44</f>
        <v>0</v>
      </c>
      <c r="S28" s="1163">
        <f>S31+S44</f>
        <v>0</v>
      </c>
      <c r="T28" s="1163">
        <f>T138</f>
        <v>0</v>
      </c>
      <c r="U28" s="1165"/>
      <c r="V28" s="1161">
        <f t="shared" si="1"/>
        <v>0</v>
      </c>
    </row>
    <row r="29" spans="1:22" s="1166" customFormat="1" ht="56.4" hidden="1" customHeight="1" x14ac:dyDescent="0.25">
      <c r="A29" s="1159"/>
      <c r="B29" s="1158"/>
      <c r="C29" s="1168"/>
      <c r="D29" s="1160" t="s">
        <v>900</v>
      </c>
      <c r="E29" s="1161">
        <f>F29</f>
        <v>0</v>
      </c>
      <c r="F29" s="1163">
        <f>SUM(G29:K29)</f>
        <v>0</v>
      </c>
      <c r="G29" s="1163"/>
      <c r="H29" s="1163"/>
      <c r="I29" s="1163">
        <f>I89</f>
        <v>0</v>
      </c>
      <c r="J29" s="1163"/>
      <c r="K29" s="1163"/>
      <c r="L29" s="1163"/>
      <c r="M29" s="1161"/>
      <c r="N29" s="1163"/>
      <c r="O29" s="1163"/>
      <c r="P29" s="1163"/>
      <c r="Q29" s="1163"/>
      <c r="R29" s="1163"/>
      <c r="S29" s="1163"/>
      <c r="T29" s="1163"/>
      <c r="U29" s="1165"/>
      <c r="V29" s="1161">
        <f t="shared" si="1"/>
        <v>0</v>
      </c>
    </row>
    <row r="30" spans="1:22" ht="15.6" x14ac:dyDescent="0.25">
      <c r="A30" s="1150" t="s">
        <v>901</v>
      </c>
      <c r="B30" s="1169">
        <v>1010</v>
      </c>
      <c r="C30" s="1151" t="s">
        <v>902</v>
      </c>
      <c r="D30" s="1170" t="s">
        <v>903</v>
      </c>
      <c r="E30" s="1145">
        <f t="shared" ref="E30:E44" si="12">F30</f>
        <v>611121128</v>
      </c>
      <c r="F30" s="1153">
        <f>SUM(G30:K30)</f>
        <v>611121128</v>
      </c>
      <c r="G30" s="1153">
        <f>302308160+8196721+2868852+35180+9016393</f>
        <v>322425306</v>
      </c>
      <c r="H30" s="1153">
        <v>286795</v>
      </c>
      <c r="I30" s="1153">
        <f>76435998+15000000+3815000</f>
        <v>95250998</v>
      </c>
      <c r="J30" s="1153">
        <v>91760375</v>
      </c>
      <c r="K30" s="1171">
        <f>7579156+66507795+16613073+138348+132128+9120+1803279+631148+6000000+1983607</f>
        <v>101397654</v>
      </c>
      <c r="L30" s="1153"/>
      <c r="M30" s="1145">
        <f t="shared" si="4"/>
        <v>85204406</v>
      </c>
      <c r="N30" s="1172">
        <f>T30</f>
        <v>0</v>
      </c>
      <c r="O30" s="1153">
        <v>85204406</v>
      </c>
      <c r="P30" s="1153">
        <v>12307</v>
      </c>
      <c r="Q30" s="1153"/>
      <c r="R30" s="1153">
        <v>83486300</v>
      </c>
      <c r="S30" s="1153">
        <v>429718</v>
      </c>
      <c r="T30" s="1153"/>
      <c r="U30" s="1173"/>
      <c r="V30" s="1145">
        <f t="shared" si="1"/>
        <v>696325534</v>
      </c>
    </row>
    <row r="31" spans="1:22" s="1166" customFormat="1" ht="16.2" hidden="1" x14ac:dyDescent="0.25">
      <c r="A31" s="1159"/>
      <c r="B31" s="1158"/>
      <c r="C31" s="1168"/>
      <c r="D31" s="1160" t="s">
        <v>904</v>
      </c>
      <c r="E31" s="1161">
        <f t="shared" si="12"/>
        <v>0</v>
      </c>
      <c r="F31" s="1163">
        <f>SUM(G31:K31)</f>
        <v>0</v>
      </c>
      <c r="G31" s="1163"/>
      <c r="H31" s="1163"/>
      <c r="I31" s="1163"/>
      <c r="J31" s="1163"/>
      <c r="K31" s="1174"/>
      <c r="L31" s="1163"/>
      <c r="M31" s="1161">
        <f t="shared" si="4"/>
        <v>0</v>
      </c>
      <c r="N31" s="1163"/>
      <c r="O31" s="1163"/>
      <c r="P31" s="1163"/>
      <c r="Q31" s="1163"/>
      <c r="R31" s="1163"/>
      <c r="S31" s="1163"/>
      <c r="T31" s="1163"/>
      <c r="U31" s="1175"/>
      <c r="V31" s="1161">
        <f t="shared" si="1"/>
        <v>0</v>
      </c>
    </row>
    <row r="32" spans="1:22" ht="36.6" hidden="1" customHeight="1" x14ac:dyDescent="0.25">
      <c r="A32" s="1150" t="s">
        <v>905</v>
      </c>
      <c r="B32" s="1169">
        <v>1020</v>
      </c>
      <c r="C32" s="1151" t="s">
        <v>887</v>
      </c>
      <c r="D32" s="1176" t="s">
        <v>906</v>
      </c>
      <c r="E32" s="1145">
        <f>E41</f>
        <v>411969102</v>
      </c>
      <c r="F32" s="1153">
        <f>F41</f>
        <v>411969102</v>
      </c>
      <c r="G32" s="1153">
        <f t="shared" ref="G32:L32" si="13">G41</f>
        <v>146066570</v>
      </c>
      <c r="H32" s="1153">
        <f t="shared" si="13"/>
        <v>48860</v>
      </c>
      <c r="I32" s="1153">
        <f t="shared" si="13"/>
        <v>114105014</v>
      </c>
      <c r="J32" s="1153">
        <f t="shared" si="13"/>
        <v>85395925</v>
      </c>
      <c r="K32" s="1153">
        <f t="shared" si="13"/>
        <v>66352733</v>
      </c>
      <c r="L32" s="1153">
        <f t="shared" si="13"/>
        <v>0</v>
      </c>
      <c r="M32" s="1145">
        <f t="shared" si="4"/>
        <v>27229179</v>
      </c>
      <c r="N32" s="1153">
        <f t="shared" ref="N32:U32" si="14">N41</f>
        <v>0</v>
      </c>
      <c r="O32" s="1153">
        <f t="shared" si="14"/>
        <v>26471341</v>
      </c>
      <c r="P32" s="1153">
        <f t="shared" si="14"/>
        <v>15814781</v>
      </c>
      <c r="Q32" s="1153">
        <f t="shared" si="14"/>
        <v>8466</v>
      </c>
      <c r="R32" s="1153">
        <f t="shared" si="14"/>
        <v>0</v>
      </c>
      <c r="S32" s="1153">
        <f t="shared" si="14"/>
        <v>3288084</v>
      </c>
      <c r="T32" s="1153">
        <f t="shared" si="14"/>
        <v>757838</v>
      </c>
      <c r="U32" s="1177">
        <f t="shared" si="14"/>
        <v>0</v>
      </c>
      <c r="V32" s="1145">
        <f t="shared" si="1"/>
        <v>439198281</v>
      </c>
    </row>
    <row r="33" spans="1:22" ht="91.95" hidden="1" customHeight="1" x14ac:dyDescent="0.25">
      <c r="A33" s="1150"/>
      <c r="B33" s="1169"/>
      <c r="C33" s="1151"/>
      <c r="D33" s="1160" t="s">
        <v>907</v>
      </c>
      <c r="E33" s="1161">
        <f t="shared" si="12"/>
        <v>0</v>
      </c>
      <c r="F33" s="1153">
        <f t="shared" ref="F33:F45" si="15">SUM(G33:K33)</f>
        <v>0</v>
      </c>
      <c r="G33" s="1163"/>
      <c r="H33" s="1153"/>
      <c r="I33" s="1153"/>
      <c r="J33" s="1163"/>
      <c r="K33" s="1174"/>
      <c r="L33" s="1153"/>
      <c r="M33" s="1145">
        <f t="shared" si="4"/>
        <v>0</v>
      </c>
      <c r="N33" s="1163">
        <f>T33</f>
        <v>0</v>
      </c>
      <c r="O33" s="1153"/>
      <c r="P33" s="1153"/>
      <c r="Q33" s="1153"/>
      <c r="R33" s="1153"/>
      <c r="S33" s="1153"/>
      <c r="T33" s="1162"/>
      <c r="U33" s="1175"/>
      <c r="V33" s="1161">
        <f t="shared" si="1"/>
        <v>0</v>
      </c>
    </row>
    <row r="34" spans="1:22" s="1166" customFormat="1" ht="33.6" hidden="1" customHeight="1" x14ac:dyDescent="0.25">
      <c r="A34" s="1151"/>
      <c r="B34" s="1158"/>
      <c r="C34" s="1168"/>
      <c r="D34" s="1160" t="s">
        <v>888</v>
      </c>
      <c r="E34" s="1161">
        <f t="shared" si="12"/>
        <v>0</v>
      </c>
      <c r="F34" s="1153">
        <f t="shared" si="15"/>
        <v>0</v>
      </c>
      <c r="G34" s="1163"/>
      <c r="H34" s="1163"/>
      <c r="I34" s="1163"/>
      <c r="J34" s="1163"/>
      <c r="K34" s="1163"/>
      <c r="L34" s="1163"/>
      <c r="M34" s="1145">
        <f t="shared" si="4"/>
        <v>0</v>
      </c>
      <c r="N34" s="1163"/>
      <c r="O34" s="1163"/>
      <c r="P34" s="1163"/>
      <c r="Q34" s="1163"/>
      <c r="R34" s="1163"/>
      <c r="S34" s="1163"/>
      <c r="T34" s="1163"/>
      <c r="U34" s="1175"/>
      <c r="V34" s="1161">
        <f t="shared" si="1"/>
        <v>0</v>
      </c>
    </row>
    <row r="35" spans="1:22" s="1166" customFormat="1" ht="67.2" hidden="1" customHeight="1" x14ac:dyDescent="0.25">
      <c r="A35" s="1151"/>
      <c r="B35" s="1158"/>
      <c r="C35" s="1168"/>
      <c r="D35" s="1160" t="s">
        <v>891</v>
      </c>
      <c r="E35" s="1161">
        <f t="shared" si="12"/>
        <v>0</v>
      </c>
      <c r="F35" s="1153">
        <f t="shared" si="15"/>
        <v>0</v>
      </c>
      <c r="G35" s="1163"/>
      <c r="H35" s="1163"/>
      <c r="I35" s="1163"/>
      <c r="J35" s="1163"/>
      <c r="K35" s="1163"/>
      <c r="L35" s="1163"/>
      <c r="M35" s="1145">
        <f t="shared" si="4"/>
        <v>0</v>
      </c>
      <c r="N35" s="1163"/>
      <c r="O35" s="1163"/>
      <c r="P35" s="1163"/>
      <c r="Q35" s="1163"/>
      <c r="R35" s="1163"/>
      <c r="S35" s="1163"/>
      <c r="T35" s="1163"/>
      <c r="U35" s="1175"/>
      <c r="V35" s="1161">
        <f t="shared" si="1"/>
        <v>0</v>
      </c>
    </row>
    <row r="36" spans="1:22" s="1166" customFormat="1" ht="61.2" hidden="1" customHeight="1" x14ac:dyDescent="0.25">
      <c r="A36" s="1151"/>
      <c r="B36" s="1158"/>
      <c r="C36" s="1168"/>
      <c r="D36" s="1160" t="s">
        <v>908</v>
      </c>
      <c r="E36" s="1161">
        <f t="shared" si="12"/>
        <v>0</v>
      </c>
      <c r="F36" s="1153">
        <f t="shared" si="15"/>
        <v>0</v>
      </c>
      <c r="G36" s="1163"/>
      <c r="H36" s="1163"/>
      <c r="I36" s="1163"/>
      <c r="J36" s="1163"/>
      <c r="K36" s="1163"/>
      <c r="L36" s="1163"/>
      <c r="M36" s="1145">
        <f t="shared" si="4"/>
        <v>0</v>
      </c>
      <c r="N36" s="1163">
        <f>T36</f>
        <v>0</v>
      </c>
      <c r="O36" s="1163"/>
      <c r="P36" s="1163"/>
      <c r="Q36" s="1163"/>
      <c r="R36" s="1163"/>
      <c r="S36" s="1163"/>
      <c r="T36" s="1163"/>
      <c r="U36" s="1175"/>
      <c r="V36" s="1161">
        <f t="shared" si="1"/>
        <v>0</v>
      </c>
    </row>
    <row r="37" spans="1:22" s="1166" customFormat="1" ht="61.2" hidden="1" customHeight="1" x14ac:dyDescent="0.25">
      <c r="A37" s="1151"/>
      <c r="B37" s="1158"/>
      <c r="C37" s="1168"/>
      <c r="D37" s="1160" t="s">
        <v>909</v>
      </c>
      <c r="E37" s="1161">
        <f t="shared" si="12"/>
        <v>0</v>
      </c>
      <c r="F37" s="1153">
        <f t="shared" si="15"/>
        <v>0</v>
      </c>
      <c r="G37" s="1163"/>
      <c r="H37" s="1163"/>
      <c r="I37" s="1163"/>
      <c r="J37" s="1163"/>
      <c r="K37" s="1163"/>
      <c r="L37" s="1163"/>
      <c r="M37" s="1145">
        <f t="shared" si="4"/>
        <v>0</v>
      </c>
      <c r="N37" s="1163">
        <f>T37</f>
        <v>0</v>
      </c>
      <c r="O37" s="1163"/>
      <c r="P37" s="1163"/>
      <c r="Q37" s="1163"/>
      <c r="R37" s="1163"/>
      <c r="S37" s="1163"/>
      <c r="T37" s="1163"/>
      <c r="U37" s="1175"/>
      <c r="V37" s="1161">
        <f t="shared" si="1"/>
        <v>0</v>
      </c>
    </row>
    <row r="38" spans="1:22" s="1166" customFormat="1" ht="61.2" hidden="1" customHeight="1" x14ac:dyDescent="0.25">
      <c r="A38" s="1151"/>
      <c r="B38" s="1158"/>
      <c r="C38" s="1168"/>
      <c r="D38" s="1160" t="s">
        <v>910</v>
      </c>
      <c r="E38" s="1161">
        <f t="shared" si="12"/>
        <v>0</v>
      </c>
      <c r="F38" s="1153">
        <f t="shared" si="15"/>
        <v>0</v>
      </c>
      <c r="G38" s="1163"/>
      <c r="H38" s="1163"/>
      <c r="I38" s="1163"/>
      <c r="J38" s="1163"/>
      <c r="K38" s="1163"/>
      <c r="L38" s="1163"/>
      <c r="M38" s="1145">
        <f t="shared" si="4"/>
        <v>0</v>
      </c>
      <c r="N38" s="1163">
        <f>T38</f>
        <v>0</v>
      </c>
      <c r="O38" s="1163"/>
      <c r="P38" s="1163"/>
      <c r="Q38" s="1163"/>
      <c r="R38" s="1163"/>
      <c r="S38" s="1163"/>
      <c r="T38" s="1163"/>
      <c r="U38" s="1175"/>
      <c r="V38" s="1161">
        <f t="shared" si="1"/>
        <v>0</v>
      </c>
    </row>
    <row r="39" spans="1:22" s="1166" customFormat="1" ht="16.2" hidden="1" x14ac:dyDescent="0.25">
      <c r="A39" s="1151"/>
      <c r="B39" s="1158"/>
      <c r="C39" s="1168"/>
      <c r="D39" s="1160" t="s">
        <v>904</v>
      </c>
      <c r="E39" s="1161">
        <f t="shared" si="12"/>
        <v>0</v>
      </c>
      <c r="F39" s="1153">
        <f t="shared" si="15"/>
        <v>0</v>
      </c>
      <c r="G39" s="1163"/>
      <c r="H39" s="1163"/>
      <c r="I39" s="1163"/>
      <c r="J39" s="1163"/>
      <c r="K39" s="1163"/>
      <c r="L39" s="1163"/>
      <c r="M39" s="1145">
        <f t="shared" si="4"/>
        <v>0</v>
      </c>
      <c r="N39" s="1163"/>
      <c r="O39" s="1163"/>
      <c r="P39" s="1163"/>
      <c r="Q39" s="1163"/>
      <c r="R39" s="1163"/>
      <c r="S39" s="1163"/>
      <c r="T39" s="1163"/>
      <c r="U39" s="1175"/>
      <c r="V39" s="1161">
        <f t="shared" si="1"/>
        <v>0</v>
      </c>
    </row>
    <row r="40" spans="1:22" s="1166" customFormat="1" ht="55.2" hidden="1" x14ac:dyDescent="0.25">
      <c r="A40" s="1150" t="s">
        <v>911</v>
      </c>
      <c r="B40" s="1158"/>
      <c r="C40" s="1151" t="s">
        <v>912</v>
      </c>
      <c r="D40" s="1176" t="s">
        <v>913</v>
      </c>
      <c r="E40" s="1161">
        <f t="shared" si="12"/>
        <v>0</v>
      </c>
      <c r="F40" s="1153">
        <f t="shared" si="15"/>
        <v>0</v>
      </c>
      <c r="G40" s="1163"/>
      <c r="H40" s="1163"/>
      <c r="I40" s="1163"/>
      <c r="J40" s="1163"/>
      <c r="K40" s="1153"/>
      <c r="L40" s="1163"/>
      <c r="M40" s="1145">
        <f t="shared" si="4"/>
        <v>0</v>
      </c>
      <c r="N40" s="1163"/>
      <c r="O40" s="1163"/>
      <c r="P40" s="1163"/>
      <c r="Q40" s="1163"/>
      <c r="R40" s="1163"/>
      <c r="S40" s="1163"/>
      <c r="T40" s="1163"/>
      <c r="U40" s="1175"/>
      <c r="V40" s="1161">
        <f t="shared" si="1"/>
        <v>0</v>
      </c>
    </row>
    <row r="41" spans="1:22" ht="33.6" customHeight="1" x14ac:dyDescent="0.25">
      <c r="A41" s="1150" t="s">
        <v>914</v>
      </c>
      <c r="B41" s="1169">
        <v>1021</v>
      </c>
      <c r="C41" s="1151" t="s">
        <v>915</v>
      </c>
      <c r="D41" s="1176" t="s">
        <v>916</v>
      </c>
      <c r="E41" s="1145">
        <f t="shared" si="12"/>
        <v>411969102</v>
      </c>
      <c r="F41" s="1153">
        <f t="shared" si="15"/>
        <v>411969102</v>
      </c>
      <c r="G41" s="1153">
        <f>113279685+32786885</f>
        <v>146066570</v>
      </c>
      <c r="H41" s="1153">
        <v>48860</v>
      </c>
      <c r="I41" s="1153">
        <v>114105014</v>
      </c>
      <c r="J41" s="1153">
        <v>85395925</v>
      </c>
      <c r="K41" s="1153">
        <f>24921508+165368+15509596+59815+10483331+7213115+8000000</f>
        <v>66352733</v>
      </c>
      <c r="L41" s="1153"/>
      <c r="M41" s="1145">
        <f t="shared" si="4"/>
        <v>27229179</v>
      </c>
      <c r="N41" s="1153"/>
      <c r="O41" s="1153">
        <v>26471341</v>
      </c>
      <c r="P41" s="1153">
        <v>15814781</v>
      </c>
      <c r="Q41" s="1153">
        <v>8466</v>
      </c>
      <c r="R41" s="1153"/>
      <c r="S41" s="1153">
        <v>3288084</v>
      </c>
      <c r="T41" s="1153">
        <v>757838</v>
      </c>
      <c r="U41" s="1173"/>
      <c r="V41" s="1145">
        <f t="shared" si="1"/>
        <v>439198281</v>
      </c>
    </row>
    <row r="42" spans="1:22" ht="64.5" hidden="1" customHeight="1" x14ac:dyDescent="0.25">
      <c r="A42" s="1150"/>
      <c r="B42" s="1169"/>
      <c r="C42" s="1151"/>
      <c r="D42" s="1160" t="s">
        <v>897</v>
      </c>
      <c r="E42" s="1161">
        <f t="shared" si="12"/>
        <v>0</v>
      </c>
      <c r="F42" s="1163">
        <f t="shared" si="15"/>
        <v>0</v>
      </c>
      <c r="G42" s="1163"/>
      <c r="H42" s="1163"/>
      <c r="I42" s="1163"/>
      <c r="J42" s="1163"/>
      <c r="K42" s="1163"/>
      <c r="L42" s="1153"/>
      <c r="M42" s="1178"/>
      <c r="N42" s="1153"/>
      <c r="O42" s="1153"/>
      <c r="P42" s="1153"/>
      <c r="Q42" s="1153"/>
      <c r="R42" s="1153"/>
      <c r="S42" s="1153"/>
      <c r="T42" s="1153"/>
      <c r="U42" s="1154"/>
      <c r="V42" s="1161">
        <f t="shared" si="1"/>
        <v>0</v>
      </c>
    </row>
    <row r="43" spans="1:22" s="1166" customFormat="1" ht="16.2" hidden="1" x14ac:dyDescent="0.25">
      <c r="A43" s="1150"/>
      <c r="B43" s="1158"/>
      <c r="C43" s="1159"/>
      <c r="D43" s="1160" t="s">
        <v>890</v>
      </c>
      <c r="E43" s="1161">
        <f t="shared" si="12"/>
        <v>0</v>
      </c>
      <c r="F43" s="1163">
        <f t="shared" si="15"/>
        <v>0</v>
      </c>
      <c r="G43" s="1162"/>
      <c r="H43" s="1162"/>
      <c r="I43" s="1162"/>
      <c r="J43" s="1162"/>
      <c r="K43" s="1162"/>
      <c r="L43" s="1162"/>
      <c r="M43" s="1161"/>
      <c r="N43" s="1163"/>
      <c r="O43" s="1163"/>
      <c r="P43" s="1163"/>
      <c r="Q43" s="1163"/>
      <c r="R43" s="1163"/>
      <c r="S43" s="1163"/>
      <c r="T43" s="1163"/>
      <c r="U43" s="1165"/>
      <c r="V43" s="1161">
        <f t="shared" si="1"/>
        <v>0</v>
      </c>
    </row>
    <row r="44" spans="1:22" ht="16.2" hidden="1" x14ac:dyDescent="0.25">
      <c r="A44" s="1150"/>
      <c r="B44" s="1169"/>
      <c r="C44" s="1151"/>
      <c r="D44" s="1160" t="s">
        <v>904</v>
      </c>
      <c r="E44" s="1161">
        <f t="shared" si="12"/>
        <v>0</v>
      </c>
      <c r="F44" s="1163">
        <f t="shared" si="15"/>
        <v>0</v>
      </c>
      <c r="G44" s="1163"/>
      <c r="H44" s="1163"/>
      <c r="I44" s="1163"/>
      <c r="J44" s="1163"/>
      <c r="K44" s="1163"/>
      <c r="L44" s="1153"/>
      <c r="M44" s="1161">
        <f>O44+T44</f>
        <v>0</v>
      </c>
      <c r="N44" s="1163"/>
      <c r="O44" s="1163"/>
      <c r="P44" s="1163"/>
      <c r="Q44" s="1163"/>
      <c r="R44" s="1163"/>
      <c r="S44" s="1163"/>
      <c r="T44" s="1163"/>
      <c r="U44" s="1154"/>
      <c r="V44" s="1161">
        <f t="shared" si="1"/>
        <v>0</v>
      </c>
    </row>
    <row r="45" spans="1:22" ht="3.6" hidden="1" customHeight="1" x14ac:dyDescent="0.25">
      <c r="A45" s="1150" t="s">
        <v>917</v>
      </c>
      <c r="B45" s="1169">
        <v>1030</v>
      </c>
      <c r="C45" s="1151" t="s">
        <v>887</v>
      </c>
      <c r="D45" s="1176" t="s">
        <v>918</v>
      </c>
      <c r="E45" s="1145">
        <f>E46</f>
        <v>0</v>
      </c>
      <c r="F45" s="1163">
        <f t="shared" si="15"/>
        <v>0</v>
      </c>
      <c r="G45" s="1153">
        <f t="shared" ref="G45:L45" si="16">G46</f>
        <v>0</v>
      </c>
      <c r="H45" s="1153">
        <f t="shared" si="16"/>
        <v>0</v>
      </c>
      <c r="I45" s="1153">
        <f t="shared" si="16"/>
        <v>0</v>
      </c>
      <c r="J45" s="1153">
        <f t="shared" si="16"/>
        <v>0</v>
      </c>
      <c r="K45" s="1153">
        <f t="shared" si="16"/>
        <v>0</v>
      </c>
      <c r="L45" s="1153">
        <f t="shared" si="16"/>
        <v>0</v>
      </c>
      <c r="M45" s="1178"/>
      <c r="N45" s="1153"/>
      <c r="O45" s="1153"/>
      <c r="P45" s="1153"/>
      <c r="Q45" s="1153"/>
      <c r="R45" s="1153"/>
      <c r="S45" s="1153"/>
      <c r="T45" s="1153"/>
      <c r="U45" s="1154"/>
      <c r="V45" s="1145">
        <f t="shared" si="1"/>
        <v>0</v>
      </c>
    </row>
    <row r="46" spans="1:22" ht="50.4" hidden="1" customHeight="1" x14ac:dyDescent="0.25">
      <c r="A46" s="1150" t="s">
        <v>919</v>
      </c>
      <c r="B46" s="1169">
        <v>1031</v>
      </c>
      <c r="C46" s="1151" t="s">
        <v>915</v>
      </c>
      <c r="D46" s="1179" t="s">
        <v>920</v>
      </c>
      <c r="E46" s="1145">
        <f>F46</f>
        <v>0</v>
      </c>
      <c r="F46" s="1153">
        <f>SUM(G46:K46)</f>
        <v>0</v>
      </c>
      <c r="G46" s="1153"/>
      <c r="H46" s="1153"/>
      <c r="I46" s="1153"/>
      <c r="J46" s="1153"/>
      <c r="K46" s="1153"/>
      <c r="L46" s="1153"/>
      <c r="M46" s="1178"/>
      <c r="N46" s="1153"/>
      <c r="O46" s="1153"/>
      <c r="P46" s="1153"/>
      <c r="Q46" s="1153"/>
      <c r="R46" s="1153"/>
      <c r="S46" s="1153"/>
      <c r="T46" s="1153"/>
      <c r="U46" s="1154"/>
      <c r="V46" s="1145">
        <f t="shared" si="1"/>
        <v>0</v>
      </c>
    </row>
    <row r="47" spans="1:22" ht="16.2" hidden="1" x14ac:dyDescent="0.25">
      <c r="A47" s="1150"/>
      <c r="B47" s="1169"/>
      <c r="C47" s="1151"/>
      <c r="D47" s="1160" t="s">
        <v>888</v>
      </c>
      <c r="E47" s="1161">
        <f>F47</f>
        <v>0</v>
      </c>
      <c r="F47" s="1163">
        <f>SUM(G47:K47)</f>
        <v>0</v>
      </c>
      <c r="G47" s="1163"/>
      <c r="H47" s="1163"/>
      <c r="I47" s="1163"/>
      <c r="J47" s="1163"/>
      <c r="K47" s="1163"/>
      <c r="L47" s="1153"/>
      <c r="M47" s="1178"/>
      <c r="N47" s="1153"/>
      <c r="O47" s="1153"/>
      <c r="P47" s="1153"/>
      <c r="Q47" s="1153"/>
      <c r="R47" s="1153"/>
      <c r="S47" s="1153"/>
      <c r="T47" s="1153"/>
      <c r="U47" s="1154"/>
      <c r="V47" s="1161">
        <f t="shared" si="1"/>
        <v>0</v>
      </c>
    </row>
    <row r="48" spans="1:22" ht="46.95" hidden="1" customHeight="1" x14ac:dyDescent="0.25">
      <c r="A48" s="1150"/>
      <c r="B48" s="1169"/>
      <c r="C48" s="1151"/>
      <c r="D48" s="1160" t="s">
        <v>891</v>
      </c>
      <c r="E48" s="1161">
        <f>F48</f>
        <v>0</v>
      </c>
      <c r="F48" s="1163">
        <f>SUM(G48:K48)</f>
        <v>0</v>
      </c>
      <c r="G48" s="1153"/>
      <c r="H48" s="1153"/>
      <c r="I48" s="1153"/>
      <c r="J48" s="1153"/>
      <c r="K48" s="1163"/>
      <c r="L48" s="1153"/>
      <c r="M48" s="1178"/>
      <c r="N48" s="1153"/>
      <c r="O48" s="1153"/>
      <c r="P48" s="1153"/>
      <c r="Q48" s="1153"/>
      <c r="R48" s="1153"/>
      <c r="S48" s="1153"/>
      <c r="T48" s="1153"/>
      <c r="U48" s="1154"/>
      <c r="V48" s="1161">
        <f t="shared" si="1"/>
        <v>0</v>
      </c>
    </row>
    <row r="49" spans="1:22" ht="117" hidden="1" customHeight="1" x14ac:dyDescent="0.25">
      <c r="A49" s="1150" t="s">
        <v>911</v>
      </c>
      <c r="B49" s="1169"/>
      <c r="C49" s="1151"/>
      <c r="D49" s="1179" t="s">
        <v>921</v>
      </c>
      <c r="E49" s="1145">
        <f t="shared" ref="E49:U49" si="17">E50</f>
        <v>0</v>
      </c>
      <c r="F49" s="1153">
        <f t="shared" si="17"/>
        <v>0</v>
      </c>
      <c r="G49" s="1153">
        <f t="shared" si="17"/>
        <v>0</v>
      </c>
      <c r="H49" s="1153">
        <f t="shared" si="17"/>
        <v>0</v>
      </c>
      <c r="I49" s="1153">
        <f t="shared" si="17"/>
        <v>0</v>
      </c>
      <c r="J49" s="1153">
        <f t="shared" si="17"/>
        <v>0</v>
      </c>
      <c r="K49" s="1153">
        <f t="shared" si="17"/>
        <v>0</v>
      </c>
      <c r="L49" s="1153">
        <f t="shared" si="17"/>
        <v>0</v>
      </c>
      <c r="M49" s="1178">
        <f t="shared" si="17"/>
        <v>0</v>
      </c>
      <c r="N49" s="1153">
        <f t="shared" si="17"/>
        <v>0</v>
      </c>
      <c r="O49" s="1153">
        <f t="shared" si="17"/>
        <v>0</v>
      </c>
      <c r="P49" s="1153">
        <f t="shared" si="17"/>
        <v>0</v>
      </c>
      <c r="Q49" s="1153">
        <f t="shared" si="17"/>
        <v>0</v>
      </c>
      <c r="R49" s="1153">
        <f t="shared" si="17"/>
        <v>0</v>
      </c>
      <c r="S49" s="1153">
        <f t="shared" si="17"/>
        <v>0</v>
      </c>
      <c r="T49" s="1153">
        <f t="shared" si="17"/>
        <v>0</v>
      </c>
      <c r="U49" s="1154">
        <f t="shared" si="17"/>
        <v>0</v>
      </c>
      <c r="V49" s="1145">
        <f>M49+E49</f>
        <v>0</v>
      </c>
    </row>
    <row r="50" spans="1:22" ht="125.4" hidden="1" customHeight="1" x14ac:dyDescent="0.25">
      <c r="A50" s="1150" t="s">
        <v>922</v>
      </c>
      <c r="B50" s="1169">
        <v>1061</v>
      </c>
      <c r="C50" s="1151" t="s">
        <v>915</v>
      </c>
      <c r="D50" s="1179" t="s">
        <v>923</v>
      </c>
      <c r="E50" s="1145">
        <f>F50</f>
        <v>0</v>
      </c>
      <c r="F50" s="1153">
        <f>SUM(G50:K50)</f>
        <v>0</v>
      </c>
      <c r="G50" s="1153"/>
      <c r="H50" s="1153"/>
      <c r="I50" s="1153"/>
      <c r="J50" s="1153"/>
      <c r="K50" s="1153"/>
      <c r="L50" s="1153"/>
      <c r="M50" s="1145">
        <f t="shared" ref="M50:M71" si="18">O50+T50</f>
        <v>0</v>
      </c>
      <c r="N50" s="1153">
        <f>T50</f>
        <v>0</v>
      </c>
      <c r="O50" s="1153"/>
      <c r="P50" s="1153"/>
      <c r="Q50" s="1153"/>
      <c r="R50" s="1153"/>
      <c r="S50" s="1153"/>
      <c r="T50" s="1153"/>
      <c r="U50" s="1154"/>
      <c r="V50" s="1145">
        <f t="shared" ref="V50:V111" si="19">M50+E50</f>
        <v>0</v>
      </c>
    </row>
    <row r="51" spans="1:22" s="1166" customFormat="1" ht="48.6" hidden="1" customHeight="1" x14ac:dyDescent="0.25">
      <c r="A51" s="1159"/>
      <c r="B51" s="1158"/>
      <c r="C51" s="1168"/>
      <c r="D51" s="1160" t="s">
        <v>891</v>
      </c>
      <c r="E51" s="1161">
        <f>F51</f>
        <v>0</v>
      </c>
      <c r="F51" s="1163">
        <f>K51</f>
        <v>0</v>
      </c>
      <c r="G51" s="1163"/>
      <c r="H51" s="1163"/>
      <c r="I51" s="1163"/>
      <c r="J51" s="1163"/>
      <c r="K51" s="1163"/>
      <c r="L51" s="1163"/>
      <c r="M51" s="1161">
        <f t="shared" si="18"/>
        <v>0</v>
      </c>
      <c r="N51" s="1163">
        <f>T51</f>
        <v>0</v>
      </c>
      <c r="O51" s="1163"/>
      <c r="P51" s="1163"/>
      <c r="Q51" s="1163"/>
      <c r="R51" s="1163"/>
      <c r="S51" s="1163"/>
      <c r="T51" s="1163"/>
      <c r="U51" s="1165"/>
      <c r="V51" s="1161">
        <f t="shared" si="19"/>
        <v>0</v>
      </c>
    </row>
    <row r="52" spans="1:22" ht="48.75" customHeight="1" x14ac:dyDescent="0.25">
      <c r="A52" s="1150" t="s">
        <v>924</v>
      </c>
      <c r="B52" s="1169">
        <v>1070</v>
      </c>
      <c r="C52" s="1151" t="s">
        <v>925</v>
      </c>
      <c r="D52" s="1170" t="s">
        <v>926</v>
      </c>
      <c r="E52" s="1145">
        <f>F52</f>
        <v>50546886</v>
      </c>
      <c r="F52" s="1153">
        <f>SUM(G52:K52)</f>
        <v>50546886</v>
      </c>
      <c r="G52" s="1153">
        <f>33854250+573770</f>
        <v>34428020</v>
      </c>
      <c r="H52" s="1153"/>
      <c r="I52" s="1153"/>
      <c r="J52" s="1153">
        <v>6480088</v>
      </c>
      <c r="K52" s="1153">
        <f>7447935+1031147+1014417+2410+16639+126230</f>
        <v>9638778</v>
      </c>
      <c r="L52" s="1153"/>
      <c r="M52" s="1145">
        <f>O52+T52</f>
        <v>1000433</v>
      </c>
      <c r="N52" s="1153">
        <f>T52</f>
        <v>0</v>
      </c>
      <c r="O52" s="1153">
        <v>1000433</v>
      </c>
      <c r="P52" s="1153">
        <v>565482</v>
      </c>
      <c r="Q52" s="1153"/>
      <c r="R52" s="1153"/>
      <c r="S52" s="1153">
        <v>55644</v>
      </c>
      <c r="T52" s="1153"/>
      <c r="U52" s="1180"/>
      <c r="V52" s="1145">
        <f t="shared" si="19"/>
        <v>51547319</v>
      </c>
    </row>
    <row r="53" spans="1:22" ht="48.75" hidden="1" customHeight="1" x14ac:dyDescent="0.25">
      <c r="A53" s="1150"/>
      <c r="B53" s="1169"/>
      <c r="C53" s="1151"/>
      <c r="D53" s="1160" t="s">
        <v>909</v>
      </c>
      <c r="E53" s="1145"/>
      <c r="F53" s="1153"/>
      <c r="G53" s="1153"/>
      <c r="H53" s="1153"/>
      <c r="I53" s="1153"/>
      <c r="J53" s="1153"/>
      <c r="K53" s="1153"/>
      <c r="L53" s="1153"/>
      <c r="M53" s="1161">
        <f t="shared" si="18"/>
        <v>0</v>
      </c>
      <c r="N53" s="1163">
        <f>T53</f>
        <v>0</v>
      </c>
      <c r="O53" s="1163"/>
      <c r="P53" s="1163"/>
      <c r="Q53" s="1163"/>
      <c r="R53" s="1163"/>
      <c r="S53" s="1163"/>
      <c r="T53" s="1163"/>
      <c r="U53" s="1167"/>
      <c r="V53" s="1161">
        <f t="shared" si="19"/>
        <v>0</v>
      </c>
    </row>
    <row r="54" spans="1:22" ht="34.200000000000003" customHeight="1" x14ac:dyDescent="0.25">
      <c r="A54" s="1150" t="s">
        <v>927</v>
      </c>
      <c r="B54" s="1169">
        <v>1080</v>
      </c>
      <c r="C54" s="1151" t="s">
        <v>928</v>
      </c>
      <c r="D54" s="1152" t="s">
        <v>929</v>
      </c>
      <c r="E54" s="1145">
        <f>F54+L54</f>
        <v>112905037</v>
      </c>
      <c r="F54" s="1153">
        <f>G54+H54+I54+J54+K54</f>
        <v>112905037</v>
      </c>
      <c r="G54" s="1153">
        <f>86038094+819672</f>
        <v>86857766</v>
      </c>
      <c r="H54" s="1153"/>
      <c r="I54" s="1153"/>
      <c r="J54" s="1153">
        <v>4120320</v>
      </c>
      <c r="K54" s="1153">
        <f>18928381+749001+1749941+60701+8599+180328+250000</f>
        <v>21926951</v>
      </c>
      <c r="L54" s="1181"/>
      <c r="M54" s="1145">
        <f t="shared" si="18"/>
        <v>7017856</v>
      </c>
      <c r="N54" s="1172"/>
      <c r="O54" s="1153">
        <v>6917510</v>
      </c>
      <c r="P54" s="1153">
        <v>4156414</v>
      </c>
      <c r="Q54" s="1153"/>
      <c r="R54" s="1153"/>
      <c r="S54" s="1153">
        <v>106000</v>
      </c>
      <c r="T54" s="1172">
        <v>100346</v>
      </c>
      <c r="U54" s="1154"/>
      <c r="V54" s="1145">
        <f t="shared" si="19"/>
        <v>119922893</v>
      </c>
    </row>
    <row r="55" spans="1:22" ht="47.4" hidden="1" customHeight="1" x14ac:dyDescent="0.25">
      <c r="A55" s="1150" t="s">
        <v>930</v>
      </c>
      <c r="B55" s="1182">
        <v>1110</v>
      </c>
      <c r="C55" s="1183" t="s">
        <v>931</v>
      </c>
      <c r="D55" s="1184" t="s">
        <v>932</v>
      </c>
      <c r="E55" s="1145">
        <f t="shared" ref="E55:E71" si="20">F55</f>
        <v>0</v>
      </c>
      <c r="F55" s="1153">
        <f>SUM(G55:K55)</f>
        <v>0</v>
      </c>
      <c r="G55" s="1153"/>
      <c r="H55" s="1153"/>
      <c r="I55" s="1153"/>
      <c r="J55" s="1153"/>
      <c r="K55" s="1153"/>
      <c r="L55" s="1153"/>
      <c r="M55" s="1145">
        <f t="shared" si="18"/>
        <v>0</v>
      </c>
      <c r="N55" s="1153"/>
      <c r="O55" s="1153"/>
      <c r="P55" s="1153"/>
      <c r="Q55" s="1153"/>
      <c r="R55" s="1153"/>
      <c r="S55" s="1153"/>
      <c r="T55" s="1153"/>
      <c r="U55" s="1180"/>
      <c r="V55" s="1145">
        <f t="shared" si="19"/>
        <v>0</v>
      </c>
    </row>
    <row r="56" spans="1:22" s="1166" customFormat="1" ht="16.2" hidden="1" x14ac:dyDescent="0.25">
      <c r="A56" s="1168"/>
      <c r="B56" s="1158"/>
      <c r="C56" s="1185"/>
      <c r="D56" s="1160" t="s">
        <v>888</v>
      </c>
      <c r="E56" s="1161">
        <f t="shared" si="20"/>
        <v>0</v>
      </c>
      <c r="F56" s="1163">
        <f t="shared" ref="F56:F71" si="21">SUM(G56:K56)</f>
        <v>0</v>
      </c>
      <c r="G56" s="1163"/>
      <c r="H56" s="1163"/>
      <c r="I56" s="1163"/>
      <c r="J56" s="1163"/>
      <c r="K56" s="1163"/>
      <c r="L56" s="1163"/>
      <c r="M56" s="1145">
        <f t="shared" si="18"/>
        <v>0</v>
      </c>
      <c r="N56" s="1163"/>
      <c r="O56" s="1163"/>
      <c r="P56" s="1163"/>
      <c r="Q56" s="1163"/>
      <c r="R56" s="1163"/>
      <c r="S56" s="1163"/>
      <c r="T56" s="1163"/>
      <c r="U56" s="1167"/>
      <c r="V56" s="1161">
        <f t="shared" si="19"/>
        <v>0</v>
      </c>
    </row>
    <row r="57" spans="1:22" s="1166" customFormat="1" ht="63" hidden="1" customHeight="1" x14ac:dyDescent="0.25">
      <c r="A57" s="1168"/>
      <c r="B57" s="1158"/>
      <c r="C57" s="1185"/>
      <c r="D57" s="1160" t="s">
        <v>933</v>
      </c>
      <c r="E57" s="1161">
        <f t="shared" si="20"/>
        <v>0</v>
      </c>
      <c r="F57" s="1163"/>
      <c r="G57" s="1163"/>
      <c r="H57" s="1163"/>
      <c r="I57" s="1163"/>
      <c r="J57" s="1163"/>
      <c r="K57" s="1163"/>
      <c r="L57" s="1163"/>
      <c r="M57" s="1145">
        <f t="shared" si="18"/>
        <v>0</v>
      </c>
      <c r="N57" s="1163">
        <f>T57</f>
        <v>0</v>
      </c>
      <c r="O57" s="1163"/>
      <c r="P57" s="1163"/>
      <c r="Q57" s="1163"/>
      <c r="R57" s="1163"/>
      <c r="S57" s="1163"/>
      <c r="T57" s="1163"/>
      <c r="U57" s="1167"/>
      <c r="V57" s="1161">
        <f t="shared" si="19"/>
        <v>0</v>
      </c>
    </row>
    <row r="58" spans="1:22" ht="34.200000000000003" hidden="1" customHeight="1" x14ac:dyDescent="0.25">
      <c r="A58" s="1150" t="s">
        <v>934</v>
      </c>
      <c r="B58" s="1169">
        <v>1150</v>
      </c>
      <c r="C58" s="1151" t="s">
        <v>935</v>
      </c>
      <c r="D58" s="1176" t="s">
        <v>936</v>
      </c>
      <c r="E58" s="1145">
        <f>F58</f>
        <v>0</v>
      </c>
      <c r="F58" s="1153">
        <f>SUM(G58:K58)</f>
        <v>0</v>
      </c>
      <c r="G58" s="1153"/>
      <c r="H58" s="1153"/>
      <c r="I58" s="1153"/>
      <c r="J58" s="1153"/>
      <c r="K58" s="1153"/>
      <c r="L58" s="1153"/>
      <c r="M58" s="1145">
        <f t="shared" si="18"/>
        <v>0</v>
      </c>
      <c r="N58" s="1153"/>
      <c r="O58" s="1153"/>
      <c r="P58" s="1153"/>
      <c r="Q58" s="1153"/>
      <c r="R58" s="1153"/>
      <c r="S58" s="1153"/>
      <c r="T58" s="1153"/>
      <c r="U58" s="1154"/>
      <c r="V58" s="1145">
        <f t="shared" si="19"/>
        <v>0</v>
      </c>
    </row>
    <row r="59" spans="1:22" ht="50.4" customHeight="1" x14ac:dyDescent="0.25">
      <c r="A59" s="1150" t="s">
        <v>937</v>
      </c>
      <c r="B59" s="1169">
        <v>1091</v>
      </c>
      <c r="C59" s="1151" t="s">
        <v>931</v>
      </c>
      <c r="D59" s="1176" t="s">
        <v>938</v>
      </c>
      <c r="E59" s="1145">
        <f t="shared" si="20"/>
        <v>116242394</v>
      </c>
      <c r="F59" s="1153">
        <f>SUM(G59:K59)</f>
        <v>116242394</v>
      </c>
      <c r="G59" s="1153">
        <f>51855549+573770</f>
        <v>52429319</v>
      </c>
      <c r="H59" s="1153">
        <v>45982</v>
      </c>
      <c r="I59" s="1153">
        <v>2228775</v>
      </c>
      <c r="J59" s="1153">
        <v>18675175</v>
      </c>
      <c r="K59" s="1153">
        <f>2556277+2291186+19890425+1590804+11408221+126230+1300000+3700000</f>
        <v>42863143</v>
      </c>
      <c r="L59" s="1153"/>
      <c r="M59" s="1145">
        <f t="shared" si="18"/>
        <v>23904961</v>
      </c>
      <c r="N59" s="1153"/>
      <c r="O59" s="1153">
        <v>23854961</v>
      </c>
      <c r="P59" s="1153">
        <v>3725992</v>
      </c>
      <c r="Q59" s="1153">
        <v>30848</v>
      </c>
      <c r="R59" s="1153">
        <v>7584014</v>
      </c>
      <c r="S59" s="1153">
        <v>3687479</v>
      </c>
      <c r="T59" s="1153">
        <v>50000</v>
      </c>
      <c r="U59" s="1154"/>
      <c r="V59" s="1145">
        <f t="shared" si="19"/>
        <v>140147355</v>
      </c>
    </row>
    <row r="60" spans="1:22" s="1166" customFormat="1" ht="16.2" hidden="1" x14ac:dyDescent="0.25">
      <c r="A60" s="1150"/>
      <c r="B60" s="1158"/>
      <c r="C60" s="1159"/>
      <c r="D60" s="1160" t="s">
        <v>890</v>
      </c>
      <c r="E60" s="1161">
        <f t="shared" si="20"/>
        <v>0</v>
      </c>
      <c r="F60" s="1163">
        <f>SUM(G60:K60)</f>
        <v>0</v>
      </c>
      <c r="G60" s="1162"/>
      <c r="H60" s="1162"/>
      <c r="I60" s="1162"/>
      <c r="J60" s="1162"/>
      <c r="K60" s="1162"/>
      <c r="L60" s="1162"/>
      <c r="M60" s="1161"/>
      <c r="N60" s="1163"/>
      <c r="O60" s="1163"/>
      <c r="P60" s="1163"/>
      <c r="Q60" s="1163"/>
      <c r="R60" s="1163"/>
      <c r="S60" s="1163"/>
      <c r="T60" s="1163"/>
      <c r="U60" s="1165"/>
      <c r="V60" s="1161">
        <f t="shared" si="19"/>
        <v>0</v>
      </c>
    </row>
    <row r="61" spans="1:22" ht="50.25" hidden="1" customHeight="1" x14ac:dyDescent="0.25">
      <c r="A61" s="1150" t="s">
        <v>939</v>
      </c>
      <c r="B61" s="1169">
        <v>1092</v>
      </c>
      <c r="C61" s="1151" t="s">
        <v>931</v>
      </c>
      <c r="D61" s="1176" t="s">
        <v>940</v>
      </c>
      <c r="E61" s="1145">
        <f t="shared" si="20"/>
        <v>0</v>
      </c>
      <c r="F61" s="1153">
        <f>SUM(G61:K61)</f>
        <v>0</v>
      </c>
      <c r="G61" s="1153"/>
      <c r="H61" s="1153"/>
      <c r="I61" s="1153"/>
      <c r="J61" s="1153"/>
      <c r="K61" s="1153"/>
      <c r="L61" s="1153"/>
      <c r="M61" s="1145"/>
      <c r="N61" s="1153"/>
      <c r="O61" s="1153"/>
      <c r="P61" s="1153"/>
      <c r="Q61" s="1153"/>
      <c r="R61" s="1153"/>
      <c r="S61" s="1153"/>
      <c r="T61" s="1153"/>
      <c r="U61" s="1154"/>
      <c r="V61" s="1145">
        <f t="shared" si="19"/>
        <v>0</v>
      </c>
    </row>
    <row r="62" spans="1:22" ht="16.2" hidden="1" x14ac:dyDescent="0.25">
      <c r="A62" s="1150"/>
      <c r="B62" s="1169"/>
      <c r="C62" s="1151"/>
      <c r="D62" s="1160" t="s">
        <v>888</v>
      </c>
      <c r="E62" s="1161">
        <f t="shared" si="20"/>
        <v>0</v>
      </c>
      <c r="F62" s="1163">
        <f>SUM(G62:K62)</f>
        <v>0</v>
      </c>
      <c r="G62" s="1163">
        <f>G61</f>
        <v>0</v>
      </c>
      <c r="H62" s="1163"/>
      <c r="I62" s="1163"/>
      <c r="J62" s="1163"/>
      <c r="K62" s="1163">
        <f>K61</f>
        <v>0</v>
      </c>
      <c r="L62" s="1153"/>
      <c r="M62" s="1145"/>
      <c r="N62" s="1153"/>
      <c r="O62" s="1153"/>
      <c r="P62" s="1153"/>
      <c r="Q62" s="1153"/>
      <c r="R62" s="1153"/>
      <c r="S62" s="1153"/>
      <c r="T62" s="1153"/>
      <c r="U62" s="1154"/>
      <c r="V62" s="1161">
        <f t="shared" si="19"/>
        <v>0</v>
      </c>
    </row>
    <row r="63" spans="1:22" ht="111" hidden="1" customHeight="1" x14ac:dyDescent="0.25">
      <c r="A63" s="1150" t="s">
        <v>941</v>
      </c>
      <c r="B63" s="1169">
        <v>1094</v>
      </c>
      <c r="C63" s="1151" t="s">
        <v>931</v>
      </c>
      <c r="D63" s="1179" t="s">
        <v>942</v>
      </c>
      <c r="E63" s="1145">
        <f>F63</f>
        <v>0</v>
      </c>
      <c r="F63" s="1153">
        <f t="shared" si="21"/>
        <v>0</v>
      </c>
      <c r="G63" s="1153"/>
      <c r="H63" s="1153"/>
      <c r="I63" s="1153"/>
      <c r="J63" s="1153"/>
      <c r="K63" s="1153"/>
      <c r="L63" s="1153"/>
      <c r="M63" s="1145">
        <f t="shared" si="18"/>
        <v>0</v>
      </c>
      <c r="N63" s="1153"/>
      <c r="O63" s="1153"/>
      <c r="P63" s="1153"/>
      <c r="Q63" s="1153"/>
      <c r="R63" s="1153"/>
      <c r="S63" s="1153"/>
      <c r="T63" s="1153"/>
      <c r="U63" s="1154"/>
      <c r="V63" s="1145">
        <f t="shared" si="19"/>
        <v>0</v>
      </c>
    </row>
    <row r="64" spans="1:22" ht="15.6" hidden="1" x14ac:dyDescent="0.25">
      <c r="A64" s="1150" t="s">
        <v>943</v>
      </c>
      <c r="B64" s="1169">
        <v>1140</v>
      </c>
      <c r="C64" s="1151"/>
      <c r="D64" s="1176" t="s">
        <v>944</v>
      </c>
      <c r="E64" s="1145">
        <f t="shared" si="20"/>
        <v>41862991</v>
      </c>
      <c r="F64" s="1153">
        <f t="shared" ref="F64:K64" si="22">F65+F67</f>
        <v>41862991</v>
      </c>
      <c r="G64" s="1153">
        <f t="shared" si="22"/>
        <v>20110701</v>
      </c>
      <c r="H64" s="1153">
        <f t="shared" si="22"/>
        <v>0</v>
      </c>
      <c r="I64" s="1153">
        <f t="shared" si="22"/>
        <v>0</v>
      </c>
      <c r="J64" s="1153">
        <f t="shared" si="22"/>
        <v>2485905</v>
      </c>
      <c r="K64" s="1153">
        <f t="shared" si="22"/>
        <v>19266385</v>
      </c>
      <c r="L64" s="1153"/>
      <c r="M64" s="1145">
        <f t="shared" si="18"/>
        <v>996857</v>
      </c>
      <c r="N64" s="1153">
        <f t="shared" ref="N64:U64" si="23">N65+N67</f>
        <v>0</v>
      </c>
      <c r="O64" s="1153">
        <f t="shared" si="23"/>
        <v>996857</v>
      </c>
      <c r="P64" s="1153">
        <f t="shared" si="23"/>
        <v>0</v>
      </c>
      <c r="Q64" s="1153">
        <f t="shared" si="23"/>
        <v>0</v>
      </c>
      <c r="R64" s="1153">
        <f t="shared" si="23"/>
        <v>0</v>
      </c>
      <c r="S64" s="1153">
        <f t="shared" si="23"/>
        <v>996834</v>
      </c>
      <c r="T64" s="1153">
        <f t="shared" si="23"/>
        <v>0</v>
      </c>
      <c r="U64" s="1154">
        <f t="shared" si="23"/>
        <v>0</v>
      </c>
      <c r="V64" s="1145">
        <f t="shared" si="19"/>
        <v>42859848</v>
      </c>
    </row>
    <row r="65" spans="1:22" ht="36" customHeight="1" x14ac:dyDescent="0.25">
      <c r="A65" s="1150" t="s">
        <v>945</v>
      </c>
      <c r="B65" s="1169">
        <v>1141</v>
      </c>
      <c r="C65" s="1151" t="s">
        <v>946</v>
      </c>
      <c r="D65" s="1176" t="s">
        <v>947</v>
      </c>
      <c r="E65" s="1145">
        <f>F65</f>
        <v>31851375</v>
      </c>
      <c r="F65" s="1153">
        <f t="shared" si="21"/>
        <v>31851375</v>
      </c>
      <c r="G65" s="1153">
        <v>20110701</v>
      </c>
      <c r="H65" s="1153"/>
      <c r="I65" s="1153"/>
      <c r="J65" s="1153">
        <v>2485905</v>
      </c>
      <c r="K65" s="1153">
        <f>4424354+881258+3167865+742+780550</f>
        <v>9254769</v>
      </c>
      <c r="L65" s="1153"/>
      <c r="M65" s="1145">
        <f t="shared" si="18"/>
        <v>996857</v>
      </c>
      <c r="N65" s="1153">
        <f>T65</f>
        <v>0</v>
      </c>
      <c r="O65" s="1153">
        <v>996857</v>
      </c>
      <c r="P65" s="1153"/>
      <c r="Q65" s="1153"/>
      <c r="R65" s="1153"/>
      <c r="S65" s="1153">
        <v>996834</v>
      </c>
      <c r="T65" s="1153"/>
      <c r="U65" s="1154"/>
      <c r="V65" s="1145">
        <f t="shared" si="19"/>
        <v>32848232</v>
      </c>
    </row>
    <row r="66" spans="1:22" s="1166" customFormat="1" ht="16.2" hidden="1" x14ac:dyDescent="0.25">
      <c r="A66" s="1150"/>
      <c r="B66" s="1158"/>
      <c r="C66" s="1159"/>
      <c r="D66" s="1160" t="s">
        <v>890</v>
      </c>
      <c r="E66" s="1161">
        <f>F66</f>
        <v>0</v>
      </c>
      <c r="F66" s="1163">
        <f>SUM(G66:K66)</f>
        <v>0</v>
      </c>
      <c r="G66" s="1162"/>
      <c r="H66" s="1162"/>
      <c r="I66" s="1162"/>
      <c r="J66" s="1162"/>
      <c r="K66" s="1162"/>
      <c r="L66" s="1162"/>
      <c r="M66" s="1161"/>
      <c r="N66" s="1163"/>
      <c r="O66" s="1163"/>
      <c r="P66" s="1163"/>
      <c r="Q66" s="1163"/>
      <c r="R66" s="1163"/>
      <c r="S66" s="1163"/>
      <c r="T66" s="1163"/>
      <c r="U66" s="1165"/>
      <c r="V66" s="1161">
        <f>M66+E66</f>
        <v>0</v>
      </c>
    </row>
    <row r="67" spans="1:22" ht="15.6" x14ac:dyDescent="0.25">
      <c r="A67" s="1150" t="s">
        <v>948</v>
      </c>
      <c r="B67" s="1169">
        <v>1142</v>
      </c>
      <c r="C67" s="1151" t="s">
        <v>946</v>
      </c>
      <c r="D67" s="1176" t="s">
        <v>949</v>
      </c>
      <c r="E67" s="1145">
        <f t="shared" si="20"/>
        <v>10011616</v>
      </c>
      <c r="F67" s="1153">
        <f t="shared" si="21"/>
        <v>10011616</v>
      </c>
      <c r="G67" s="1153"/>
      <c r="H67" s="1153"/>
      <c r="I67" s="1153"/>
      <c r="J67" s="1153"/>
      <c r="K67" s="1153">
        <f>7746796+2264820</f>
        <v>10011616</v>
      </c>
      <c r="L67" s="1153"/>
      <c r="M67" s="1145">
        <f t="shared" si="18"/>
        <v>0</v>
      </c>
      <c r="N67" s="1153"/>
      <c r="O67" s="1153"/>
      <c r="P67" s="1153"/>
      <c r="Q67" s="1153"/>
      <c r="R67" s="1153"/>
      <c r="S67" s="1153"/>
      <c r="T67" s="1153"/>
      <c r="U67" s="1154"/>
      <c r="V67" s="1145">
        <f t="shared" si="19"/>
        <v>10011616</v>
      </c>
    </row>
    <row r="68" spans="1:22" ht="25.2" hidden="1" customHeight="1" x14ac:dyDescent="0.25">
      <c r="A68" s="1150"/>
      <c r="B68" s="1169"/>
      <c r="C68" s="1151"/>
      <c r="D68" s="1186" t="s">
        <v>899</v>
      </c>
      <c r="E68" s="1161">
        <f>F68</f>
        <v>0</v>
      </c>
      <c r="F68" s="1163">
        <f t="shared" si="21"/>
        <v>0</v>
      </c>
      <c r="G68" s="1163"/>
      <c r="H68" s="1163"/>
      <c r="I68" s="1163"/>
      <c r="J68" s="1163"/>
      <c r="K68" s="1163"/>
      <c r="L68" s="1163"/>
      <c r="M68" s="1161"/>
      <c r="N68" s="1163"/>
      <c r="O68" s="1163"/>
      <c r="P68" s="1163"/>
      <c r="Q68" s="1163"/>
      <c r="R68" s="1163"/>
      <c r="S68" s="1163"/>
      <c r="T68" s="1163"/>
      <c r="U68" s="1165"/>
      <c r="V68" s="1161">
        <f t="shared" si="19"/>
        <v>0</v>
      </c>
    </row>
    <row r="69" spans="1:22" ht="48" customHeight="1" x14ac:dyDescent="0.25">
      <c r="A69" s="1150" t="s">
        <v>950</v>
      </c>
      <c r="B69" s="1169">
        <v>1151</v>
      </c>
      <c r="C69" s="1151" t="s">
        <v>946</v>
      </c>
      <c r="D69" s="1176" t="s">
        <v>951</v>
      </c>
      <c r="E69" s="1145">
        <f t="shared" si="20"/>
        <v>1393666</v>
      </c>
      <c r="F69" s="1153">
        <f t="shared" si="21"/>
        <v>1393666</v>
      </c>
      <c r="G69" s="1153">
        <v>723186</v>
      </c>
      <c r="H69" s="1153">
        <v>212</v>
      </c>
      <c r="I69" s="1153"/>
      <c r="J69" s="1153">
        <v>52434</v>
      </c>
      <c r="K69" s="1153">
        <f>159101+233600+6005+1213+217915</f>
        <v>617834</v>
      </c>
      <c r="L69" s="1153"/>
      <c r="M69" s="1145">
        <f t="shared" si="18"/>
        <v>0</v>
      </c>
      <c r="N69" s="1153">
        <f>T69</f>
        <v>0</v>
      </c>
      <c r="O69" s="1153"/>
      <c r="P69" s="1153"/>
      <c r="Q69" s="1153"/>
      <c r="R69" s="1153"/>
      <c r="S69" s="1153"/>
      <c r="T69" s="1153"/>
      <c r="U69" s="1154"/>
      <c r="V69" s="1145">
        <f t="shared" si="19"/>
        <v>1393666</v>
      </c>
    </row>
    <row r="70" spans="1:22" ht="31.95" hidden="1" customHeight="1" x14ac:dyDescent="0.25">
      <c r="A70" s="1150" t="s">
        <v>952</v>
      </c>
      <c r="B70" s="1169">
        <v>1152</v>
      </c>
      <c r="C70" s="1151" t="s">
        <v>946</v>
      </c>
      <c r="D70" s="1176" t="s">
        <v>953</v>
      </c>
      <c r="E70" s="1145">
        <f t="shared" si="20"/>
        <v>0</v>
      </c>
      <c r="F70" s="1153">
        <f t="shared" si="21"/>
        <v>0</v>
      </c>
      <c r="G70" s="1153">
        <f>G71</f>
        <v>0</v>
      </c>
      <c r="H70" s="1153"/>
      <c r="I70" s="1153"/>
      <c r="J70" s="1153"/>
      <c r="K70" s="1153">
        <f>K71</f>
        <v>0</v>
      </c>
      <c r="L70" s="1153"/>
      <c r="M70" s="1145"/>
      <c r="N70" s="1153"/>
      <c r="O70" s="1153"/>
      <c r="P70" s="1153"/>
      <c r="Q70" s="1153"/>
      <c r="R70" s="1153"/>
      <c r="S70" s="1153"/>
      <c r="T70" s="1153"/>
      <c r="U70" s="1154"/>
      <c r="V70" s="1145">
        <f t="shared" si="19"/>
        <v>0</v>
      </c>
    </row>
    <row r="71" spans="1:22" ht="51" hidden="1" customHeight="1" x14ac:dyDescent="0.25">
      <c r="A71" s="1150"/>
      <c r="B71" s="1169"/>
      <c r="C71" s="1151"/>
      <c r="D71" s="1160" t="s">
        <v>891</v>
      </c>
      <c r="E71" s="1161">
        <f t="shared" si="20"/>
        <v>0</v>
      </c>
      <c r="F71" s="1163">
        <f t="shared" si="21"/>
        <v>0</v>
      </c>
      <c r="G71" s="1163"/>
      <c r="H71" s="1163"/>
      <c r="I71" s="1163"/>
      <c r="J71" s="1163"/>
      <c r="K71" s="1163"/>
      <c r="L71" s="1163"/>
      <c r="M71" s="1161">
        <f t="shared" si="18"/>
        <v>0</v>
      </c>
      <c r="N71" s="1163">
        <f>T71</f>
        <v>0</v>
      </c>
      <c r="O71" s="1163"/>
      <c r="P71" s="1163"/>
      <c r="Q71" s="1163"/>
      <c r="R71" s="1163"/>
      <c r="S71" s="1163"/>
      <c r="T71" s="1163"/>
      <c r="U71" s="1165"/>
      <c r="V71" s="1161">
        <f t="shared" si="19"/>
        <v>0</v>
      </c>
    </row>
    <row r="72" spans="1:22" ht="35.4" customHeight="1" x14ac:dyDescent="0.25">
      <c r="A72" s="1150" t="s">
        <v>954</v>
      </c>
      <c r="B72" s="1169">
        <v>1160</v>
      </c>
      <c r="C72" s="1151" t="s">
        <v>946</v>
      </c>
      <c r="D72" s="1179" t="s">
        <v>955</v>
      </c>
      <c r="E72" s="1145">
        <f>F72</f>
        <v>4541236</v>
      </c>
      <c r="F72" s="1153">
        <f>SUM(G72:K72)</f>
        <v>4541236</v>
      </c>
      <c r="G72" s="1153">
        <f>3135221+245902</f>
        <v>3381123</v>
      </c>
      <c r="H72" s="1153"/>
      <c r="I72" s="1153"/>
      <c r="J72" s="1153"/>
      <c r="K72" s="1153">
        <f>689749+107598+134999+23669+54098+150000</f>
        <v>1160113</v>
      </c>
      <c r="L72" s="1153"/>
      <c r="M72" s="1145"/>
      <c r="N72" s="1153"/>
      <c r="O72" s="1153"/>
      <c r="P72" s="1153"/>
      <c r="Q72" s="1153"/>
      <c r="R72" s="1153"/>
      <c r="S72" s="1153"/>
      <c r="T72" s="1153"/>
      <c r="U72" s="1154"/>
      <c r="V72" s="1145">
        <f t="shared" si="19"/>
        <v>4541236</v>
      </c>
    </row>
    <row r="73" spans="1:22" ht="60.6" hidden="1" customHeight="1" x14ac:dyDescent="0.25">
      <c r="A73" s="1150" t="s">
        <v>956</v>
      </c>
      <c r="B73" s="1169">
        <v>1181</v>
      </c>
      <c r="C73" s="1151" t="s">
        <v>946</v>
      </c>
      <c r="D73" s="1179" t="s">
        <v>957</v>
      </c>
      <c r="E73" s="1145">
        <f>F73</f>
        <v>0</v>
      </c>
      <c r="F73" s="1153">
        <f>SUM(G73:K73)</f>
        <v>0</v>
      </c>
      <c r="G73" s="1153"/>
      <c r="H73" s="1153"/>
      <c r="I73" s="1153"/>
      <c r="J73" s="1153"/>
      <c r="K73" s="1153"/>
      <c r="L73" s="1153"/>
      <c r="M73" s="1145">
        <f>T73</f>
        <v>0</v>
      </c>
      <c r="N73" s="1153">
        <f>T73</f>
        <v>0</v>
      </c>
      <c r="O73" s="1153"/>
      <c r="P73" s="1153"/>
      <c r="Q73" s="1153"/>
      <c r="R73" s="1153"/>
      <c r="S73" s="1153"/>
      <c r="T73" s="1153"/>
      <c r="U73" s="1154"/>
      <c r="V73" s="1145">
        <f t="shared" si="19"/>
        <v>0</v>
      </c>
    </row>
    <row r="74" spans="1:22" ht="59.4" hidden="1" customHeight="1" x14ac:dyDescent="0.25">
      <c r="A74" s="1150" t="s">
        <v>958</v>
      </c>
      <c r="B74" s="1169">
        <v>1182</v>
      </c>
      <c r="C74" s="1151" t="s">
        <v>946</v>
      </c>
      <c r="D74" s="1179" t="s">
        <v>959</v>
      </c>
      <c r="E74" s="1145">
        <f>F74</f>
        <v>0</v>
      </c>
      <c r="F74" s="1153">
        <f>SUM(G74:K74)</f>
        <v>0</v>
      </c>
      <c r="G74" s="1153"/>
      <c r="H74" s="1153"/>
      <c r="I74" s="1153"/>
      <c r="J74" s="1153"/>
      <c r="K74" s="1153"/>
      <c r="L74" s="1153"/>
      <c r="M74" s="1145">
        <f>T74</f>
        <v>0</v>
      </c>
      <c r="N74" s="1153">
        <f>T74</f>
        <v>0</v>
      </c>
      <c r="O74" s="1153"/>
      <c r="P74" s="1153"/>
      <c r="Q74" s="1153"/>
      <c r="R74" s="1153"/>
      <c r="S74" s="1153"/>
      <c r="T74" s="1153"/>
      <c r="U74" s="1154"/>
      <c r="V74" s="1145">
        <f t="shared" si="19"/>
        <v>0</v>
      </c>
    </row>
    <row r="75" spans="1:22" ht="70.2" hidden="1" customHeight="1" x14ac:dyDescent="0.25">
      <c r="A75" s="1150"/>
      <c r="B75" s="1169"/>
      <c r="C75" s="1151"/>
      <c r="D75" s="1160" t="s">
        <v>889</v>
      </c>
      <c r="E75" s="1161">
        <f>F75</f>
        <v>0</v>
      </c>
      <c r="F75" s="1163">
        <f t="shared" ref="F75:K75" si="24">F74</f>
        <v>0</v>
      </c>
      <c r="G75" s="1163">
        <f t="shared" si="24"/>
        <v>0</v>
      </c>
      <c r="H75" s="1163">
        <f t="shared" si="24"/>
        <v>0</v>
      </c>
      <c r="I75" s="1163">
        <f t="shared" si="24"/>
        <v>0</v>
      </c>
      <c r="J75" s="1163">
        <f t="shared" si="24"/>
        <v>0</v>
      </c>
      <c r="K75" s="1163">
        <f t="shared" si="24"/>
        <v>0</v>
      </c>
      <c r="L75" s="1153"/>
      <c r="M75" s="1161">
        <f>T75</f>
        <v>0</v>
      </c>
      <c r="N75" s="1163">
        <f>N74</f>
        <v>0</v>
      </c>
      <c r="O75" s="1163"/>
      <c r="P75" s="1163"/>
      <c r="Q75" s="1163"/>
      <c r="R75" s="1163"/>
      <c r="S75" s="1163"/>
      <c r="T75" s="1163">
        <f>T74</f>
        <v>0</v>
      </c>
      <c r="U75" s="1165">
        <f>U74</f>
        <v>0</v>
      </c>
      <c r="V75" s="1145">
        <f t="shared" si="19"/>
        <v>0</v>
      </c>
    </row>
    <row r="76" spans="1:22" ht="50.4" hidden="1" customHeight="1" x14ac:dyDescent="0.25">
      <c r="A76" s="1150" t="s">
        <v>960</v>
      </c>
      <c r="B76" s="1169">
        <v>1200</v>
      </c>
      <c r="C76" s="1151" t="s">
        <v>946</v>
      </c>
      <c r="D76" s="1179" t="s">
        <v>961</v>
      </c>
      <c r="E76" s="1145">
        <f>F76</f>
        <v>0</v>
      </c>
      <c r="F76" s="1153">
        <f>SUM(G76:K76)</f>
        <v>0</v>
      </c>
      <c r="G76" s="1153"/>
      <c r="H76" s="1153"/>
      <c r="I76" s="1153"/>
      <c r="J76" s="1153"/>
      <c r="K76" s="1153"/>
      <c r="L76" s="1163"/>
      <c r="M76" s="1161">
        <f>O76+T76</f>
        <v>0</v>
      </c>
      <c r="N76" s="1163">
        <f>T76</f>
        <v>0</v>
      </c>
      <c r="O76" s="1163"/>
      <c r="P76" s="1163"/>
      <c r="Q76" s="1163"/>
      <c r="R76" s="1163"/>
      <c r="S76" s="1163"/>
      <c r="T76" s="1163"/>
      <c r="U76" s="1165"/>
      <c r="V76" s="1145">
        <f t="shared" si="19"/>
        <v>0</v>
      </c>
    </row>
    <row r="77" spans="1:22" s="1166" customFormat="1" ht="64.2" hidden="1" customHeight="1" x14ac:dyDescent="0.25">
      <c r="A77" s="1159"/>
      <c r="B77" s="1158"/>
      <c r="C77" s="1168"/>
      <c r="D77" s="1160" t="s">
        <v>893</v>
      </c>
      <c r="E77" s="1161">
        <f>E76</f>
        <v>0</v>
      </c>
      <c r="F77" s="1163">
        <f>F76</f>
        <v>0</v>
      </c>
      <c r="G77" s="1163">
        <f t="shared" ref="G77:L77" si="25">G76</f>
        <v>0</v>
      </c>
      <c r="H77" s="1163">
        <f t="shared" si="25"/>
        <v>0</v>
      </c>
      <c r="I77" s="1163">
        <f t="shared" si="25"/>
        <v>0</v>
      </c>
      <c r="J77" s="1163">
        <f t="shared" si="25"/>
        <v>0</v>
      </c>
      <c r="K77" s="1163">
        <f t="shared" si="25"/>
        <v>0</v>
      </c>
      <c r="L77" s="1163">
        <f t="shared" si="25"/>
        <v>0</v>
      </c>
      <c r="M77" s="1161"/>
      <c r="N77" s="1163"/>
      <c r="O77" s="1163"/>
      <c r="P77" s="1163"/>
      <c r="Q77" s="1163"/>
      <c r="R77" s="1163"/>
      <c r="S77" s="1163"/>
      <c r="T77" s="1163"/>
      <c r="U77" s="1165"/>
      <c r="V77" s="1145">
        <f t="shared" si="19"/>
        <v>0</v>
      </c>
    </row>
    <row r="78" spans="1:22" ht="84.75" hidden="1" customHeight="1" x14ac:dyDescent="0.25">
      <c r="A78" s="1150" t="s">
        <v>962</v>
      </c>
      <c r="B78" s="1169">
        <v>1210</v>
      </c>
      <c r="C78" s="1151" t="s">
        <v>946</v>
      </c>
      <c r="D78" s="1179" t="s">
        <v>963</v>
      </c>
      <c r="E78" s="1145">
        <f>F78</f>
        <v>0</v>
      </c>
      <c r="F78" s="1172">
        <f>SUM(G78:K78)</f>
        <v>0</v>
      </c>
      <c r="G78" s="1172">
        <f>G79+G80</f>
        <v>0</v>
      </c>
      <c r="H78" s="1172"/>
      <c r="I78" s="1172"/>
      <c r="J78" s="1172"/>
      <c r="K78" s="1172">
        <f>K79+K80</f>
        <v>0</v>
      </c>
      <c r="L78" s="1163"/>
      <c r="M78" s="1145">
        <f>O78+T78</f>
        <v>0</v>
      </c>
      <c r="N78" s="1153">
        <f>T78</f>
        <v>0</v>
      </c>
      <c r="O78" s="1163"/>
      <c r="P78" s="1163"/>
      <c r="Q78" s="1163"/>
      <c r="R78" s="1163"/>
      <c r="S78" s="1163"/>
      <c r="T78" s="1153"/>
      <c r="U78" s="1154"/>
      <c r="V78" s="1145">
        <f t="shared" si="19"/>
        <v>0</v>
      </c>
    </row>
    <row r="79" spans="1:22" ht="46.8" hidden="1" customHeight="1" x14ac:dyDescent="0.25">
      <c r="A79" s="1150"/>
      <c r="B79" s="1169"/>
      <c r="C79" s="1151"/>
      <c r="D79" s="1160" t="s">
        <v>898</v>
      </c>
      <c r="E79" s="1161">
        <f>F79</f>
        <v>0</v>
      </c>
      <c r="F79" s="1162">
        <f>SUM(G79:K79)</f>
        <v>0</v>
      </c>
      <c r="G79" s="1162"/>
      <c r="H79" s="1162"/>
      <c r="I79" s="1162"/>
      <c r="J79" s="1162"/>
      <c r="K79" s="1162"/>
      <c r="L79" s="1163"/>
      <c r="M79" s="1145">
        <f>O79+T79</f>
        <v>0</v>
      </c>
      <c r="N79" s="1153"/>
      <c r="O79" s="1163"/>
      <c r="P79" s="1163"/>
      <c r="Q79" s="1163"/>
      <c r="R79" s="1163"/>
      <c r="S79" s="1163"/>
      <c r="T79" s="1153"/>
      <c r="U79" s="1154"/>
      <c r="V79" s="1161">
        <f t="shared" si="19"/>
        <v>0</v>
      </c>
    </row>
    <row r="80" spans="1:22" ht="84" hidden="1" customHeight="1" x14ac:dyDescent="0.25">
      <c r="A80" s="1150"/>
      <c r="B80" s="1169"/>
      <c r="C80" s="1151"/>
      <c r="D80" s="1160" t="s">
        <v>892</v>
      </c>
      <c r="E80" s="1161">
        <f>F80</f>
        <v>0</v>
      </c>
      <c r="F80" s="1163">
        <f>SUM(G80:K80)</f>
        <v>0</v>
      </c>
      <c r="G80" s="1163"/>
      <c r="H80" s="1163"/>
      <c r="I80" s="1163"/>
      <c r="J80" s="1163"/>
      <c r="K80" s="1163"/>
      <c r="L80" s="1163"/>
      <c r="M80" s="1145"/>
      <c r="N80" s="1153"/>
      <c r="O80" s="1163"/>
      <c r="P80" s="1163"/>
      <c r="Q80" s="1163"/>
      <c r="R80" s="1163"/>
      <c r="S80" s="1163"/>
      <c r="T80" s="1153"/>
      <c r="U80" s="1154"/>
      <c r="V80" s="1161">
        <f t="shared" si="19"/>
        <v>0</v>
      </c>
    </row>
    <row r="81" spans="1:22" ht="92.4" hidden="1" customHeight="1" x14ac:dyDescent="0.25">
      <c r="A81" s="1150" t="s">
        <v>964</v>
      </c>
      <c r="B81" s="1169">
        <v>1241</v>
      </c>
      <c r="C81" s="1151" t="s">
        <v>946</v>
      </c>
      <c r="D81" s="1179" t="s">
        <v>965</v>
      </c>
      <c r="E81" s="1145"/>
      <c r="F81" s="1153"/>
      <c r="G81" s="1153"/>
      <c r="H81" s="1153"/>
      <c r="I81" s="1153"/>
      <c r="J81" s="1153"/>
      <c r="K81" s="1153"/>
      <c r="L81" s="1153"/>
      <c r="M81" s="1145">
        <f>T81+O81</f>
        <v>0</v>
      </c>
      <c r="N81" s="1153">
        <f>T81</f>
        <v>0</v>
      </c>
      <c r="O81" s="1153"/>
      <c r="P81" s="1153"/>
      <c r="Q81" s="1153"/>
      <c r="R81" s="1153"/>
      <c r="S81" s="1153"/>
      <c r="T81" s="1153"/>
      <c r="U81" s="1154"/>
      <c r="V81" s="1145">
        <f>M81+E81</f>
        <v>0</v>
      </c>
    </row>
    <row r="82" spans="1:22" ht="85.2" hidden="1" customHeight="1" x14ac:dyDescent="0.25">
      <c r="A82" s="1150" t="s">
        <v>966</v>
      </c>
      <c r="B82" s="1169">
        <v>1242</v>
      </c>
      <c r="C82" s="1151" t="s">
        <v>946</v>
      </c>
      <c r="D82" s="1179" t="s">
        <v>967</v>
      </c>
      <c r="E82" s="1145"/>
      <c r="F82" s="1153"/>
      <c r="G82" s="1153"/>
      <c r="H82" s="1153"/>
      <c r="I82" s="1153"/>
      <c r="J82" s="1153"/>
      <c r="K82" s="1153"/>
      <c r="L82" s="1153"/>
      <c r="M82" s="1145">
        <f>T82+O82</f>
        <v>0</v>
      </c>
      <c r="N82" s="1153">
        <f>T82</f>
        <v>0</v>
      </c>
      <c r="O82" s="1153"/>
      <c r="P82" s="1153"/>
      <c r="Q82" s="1153"/>
      <c r="R82" s="1153"/>
      <c r="S82" s="1153"/>
      <c r="T82" s="1153"/>
      <c r="U82" s="1154">
        <f>T82</f>
        <v>0</v>
      </c>
      <c r="V82" s="1145">
        <f t="shared" si="19"/>
        <v>0</v>
      </c>
    </row>
    <row r="83" spans="1:22" s="1166" customFormat="1" ht="83.4" hidden="1" customHeight="1" x14ac:dyDescent="0.25">
      <c r="A83" s="1159"/>
      <c r="B83" s="1158"/>
      <c r="C83" s="1168"/>
      <c r="D83" s="1160" t="s">
        <v>895</v>
      </c>
      <c r="E83" s="1161"/>
      <c r="F83" s="1163"/>
      <c r="G83" s="1163"/>
      <c r="H83" s="1163"/>
      <c r="I83" s="1163"/>
      <c r="J83" s="1163"/>
      <c r="K83" s="1163"/>
      <c r="L83" s="1163"/>
      <c r="M83" s="1161">
        <f>T83</f>
        <v>0</v>
      </c>
      <c r="N83" s="1163">
        <f>T83</f>
        <v>0</v>
      </c>
      <c r="O83" s="1163"/>
      <c r="P83" s="1163"/>
      <c r="Q83" s="1163"/>
      <c r="R83" s="1163"/>
      <c r="S83" s="1163"/>
      <c r="T83" s="1163">
        <f>T82</f>
        <v>0</v>
      </c>
      <c r="U83" s="1165">
        <f>U82</f>
        <v>0</v>
      </c>
      <c r="V83" s="1161">
        <f>M83+E83</f>
        <v>0</v>
      </c>
    </row>
    <row r="84" spans="1:22" ht="97.2" hidden="1" customHeight="1" x14ac:dyDescent="0.25">
      <c r="A84" s="1150" t="s">
        <v>968</v>
      </c>
      <c r="B84" s="1169">
        <v>1291</v>
      </c>
      <c r="C84" s="1151" t="s">
        <v>946</v>
      </c>
      <c r="D84" s="1179" t="s">
        <v>969</v>
      </c>
      <c r="E84" s="1145">
        <f>F84</f>
        <v>0</v>
      </c>
      <c r="F84" s="1153">
        <f>SUM(G84:K84)</f>
        <v>0</v>
      </c>
      <c r="G84" s="1153"/>
      <c r="H84" s="1153"/>
      <c r="I84" s="1153"/>
      <c r="J84" s="1153"/>
      <c r="K84" s="1153"/>
      <c r="L84" s="1153"/>
      <c r="M84" s="1145">
        <f>T84</f>
        <v>0</v>
      </c>
      <c r="N84" s="1153">
        <f>T84</f>
        <v>0</v>
      </c>
      <c r="O84" s="1153"/>
      <c r="P84" s="1153"/>
      <c r="Q84" s="1153"/>
      <c r="R84" s="1153"/>
      <c r="S84" s="1153"/>
      <c r="T84" s="1153"/>
      <c r="U84" s="1154"/>
      <c r="V84" s="1145">
        <f t="shared" si="19"/>
        <v>0</v>
      </c>
    </row>
    <row r="85" spans="1:22" ht="93.6" hidden="1" customHeight="1" x14ac:dyDescent="0.25">
      <c r="A85" s="1150" t="s">
        <v>970</v>
      </c>
      <c r="B85" s="1169">
        <v>1292</v>
      </c>
      <c r="C85" s="1151" t="s">
        <v>946</v>
      </c>
      <c r="D85" s="1179" t="s">
        <v>971</v>
      </c>
      <c r="E85" s="1145"/>
      <c r="F85" s="1153"/>
      <c r="G85" s="1153"/>
      <c r="H85" s="1153"/>
      <c r="I85" s="1153"/>
      <c r="J85" s="1153"/>
      <c r="K85" s="1153"/>
      <c r="L85" s="1153"/>
      <c r="M85" s="1145">
        <f>T85+O85</f>
        <v>0</v>
      </c>
      <c r="N85" s="1153"/>
      <c r="O85" s="1153"/>
      <c r="P85" s="1153"/>
      <c r="Q85" s="1153"/>
      <c r="R85" s="1153"/>
      <c r="S85" s="1153"/>
      <c r="T85" s="1153"/>
      <c r="U85" s="1154"/>
      <c r="V85" s="1145">
        <f t="shared" si="19"/>
        <v>0</v>
      </c>
    </row>
    <row r="86" spans="1:22" s="1166" customFormat="1" ht="51" hidden="1" customHeight="1" x14ac:dyDescent="0.25">
      <c r="A86" s="1159"/>
      <c r="B86" s="1158"/>
      <c r="C86" s="1168"/>
      <c r="D86" s="1160" t="s">
        <v>894</v>
      </c>
      <c r="E86" s="1161"/>
      <c r="F86" s="1163"/>
      <c r="G86" s="1163"/>
      <c r="H86" s="1163"/>
      <c r="I86" s="1163"/>
      <c r="J86" s="1163"/>
      <c r="K86" s="1163"/>
      <c r="L86" s="1163"/>
      <c r="M86" s="1161">
        <f>O86+T86</f>
        <v>0</v>
      </c>
      <c r="N86" s="1163"/>
      <c r="O86" s="1163"/>
      <c r="P86" s="1163"/>
      <c r="Q86" s="1163"/>
      <c r="R86" s="1163"/>
      <c r="S86" s="1163"/>
      <c r="T86" s="1163"/>
      <c r="U86" s="1165"/>
      <c r="V86" s="1161">
        <f>M86</f>
        <v>0</v>
      </c>
    </row>
    <row r="87" spans="1:22" s="1166" customFormat="1" ht="56.4" hidden="1" customHeight="1" x14ac:dyDescent="0.25">
      <c r="A87" s="1159"/>
      <c r="B87" s="1158"/>
      <c r="C87" s="1168"/>
      <c r="D87" s="1160" t="s">
        <v>896</v>
      </c>
      <c r="E87" s="1161"/>
      <c r="F87" s="1163"/>
      <c r="G87" s="1163"/>
      <c r="H87" s="1163"/>
      <c r="I87" s="1163"/>
      <c r="J87" s="1163"/>
      <c r="K87" s="1163"/>
      <c r="L87" s="1163"/>
      <c r="M87" s="1161">
        <f>O87+T87</f>
        <v>0</v>
      </c>
      <c r="N87" s="1163"/>
      <c r="O87" s="1163"/>
      <c r="P87" s="1163"/>
      <c r="Q87" s="1163"/>
      <c r="R87" s="1163"/>
      <c r="S87" s="1163"/>
      <c r="T87" s="1163"/>
      <c r="U87" s="1165"/>
      <c r="V87" s="1161">
        <f>M87</f>
        <v>0</v>
      </c>
    </row>
    <row r="88" spans="1:22" ht="56.4" hidden="1" customHeight="1" x14ac:dyDescent="0.25">
      <c r="A88" s="1150" t="s">
        <v>972</v>
      </c>
      <c r="B88" s="1169">
        <v>1403</v>
      </c>
      <c r="C88" s="1151" t="s">
        <v>946</v>
      </c>
      <c r="D88" s="1179" t="s">
        <v>973</v>
      </c>
      <c r="E88" s="1145">
        <f>F88</f>
        <v>0</v>
      </c>
      <c r="F88" s="1153">
        <f>SUM(G88:K88)</f>
        <v>0</v>
      </c>
      <c r="G88" s="1153"/>
      <c r="H88" s="1153"/>
      <c r="I88" s="1153">
        <f>I89</f>
        <v>0</v>
      </c>
      <c r="J88" s="1153"/>
      <c r="K88" s="1153"/>
      <c r="L88" s="1153"/>
      <c r="M88" s="1145">
        <f>T88+O88</f>
        <v>0</v>
      </c>
      <c r="N88" s="1153"/>
      <c r="O88" s="1153"/>
      <c r="P88" s="1153"/>
      <c r="Q88" s="1153"/>
      <c r="R88" s="1153"/>
      <c r="S88" s="1153"/>
      <c r="T88" s="1153"/>
      <c r="U88" s="1154"/>
      <c r="V88" s="1145">
        <f t="shared" si="19"/>
        <v>0</v>
      </c>
    </row>
    <row r="89" spans="1:22" s="1166" customFormat="1" ht="56.4" hidden="1" customHeight="1" x14ac:dyDescent="0.25">
      <c r="A89" s="1159"/>
      <c r="B89" s="1158"/>
      <c r="C89" s="1168"/>
      <c r="D89" s="1160" t="s">
        <v>900</v>
      </c>
      <c r="E89" s="1161">
        <f>F89</f>
        <v>0</v>
      </c>
      <c r="F89" s="1163">
        <f>SUM(G89:K89)</f>
        <v>0</v>
      </c>
      <c r="G89" s="1163"/>
      <c r="H89" s="1163"/>
      <c r="I89" s="1163"/>
      <c r="J89" s="1163"/>
      <c r="K89" s="1163"/>
      <c r="L89" s="1163"/>
      <c r="M89" s="1161"/>
      <c r="N89" s="1163"/>
      <c r="O89" s="1163"/>
      <c r="P89" s="1163"/>
      <c r="Q89" s="1163"/>
      <c r="R89" s="1163"/>
      <c r="S89" s="1163"/>
      <c r="T89" s="1163"/>
      <c r="U89" s="1165"/>
      <c r="V89" s="1161">
        <f t="shared" si="19"/>
        <v>0</v>
      </c>
    </row>
    <row r="90" spans="1:22" ht="30.45" customHeight="1" x14ac:dyDescent="0.25">
      <c r="A90" s="1150" t="s">
        <v>887</v>
      </c>
      <c r="B90" s="1155">
        <v>3000</v>
      </c>
      <c r="C90" s="1150" t="s">
        <v>887</v>
      </c>
      <c r="D90" s="1187" t="s">
        <v>974</v>
      </c>
      <c r="E90" s="1145">
        <f>E92+E94</f>
        <v>3446700</v>
      </c>
      <c r="F90" s="1145">
        <f>F92+F94</f>
        <v>3446700</v>
      </c>
      <c r="G90" s="1145">
        <f t="shared" ref="G90:L90" si="26">G92+G94</f>
        <v>0</v>
      </c>
      <c r="H90" s="1145">
        <f t="shared" si="26"/>
        <v>0</v>
      </c>
      <c r="I90" s="1145">
        <f t="shared" si="26"/>
        <v>0</v>
      </c>
      <c r="J90" s="1145">
        <f t="shared" si="26"/>
        <v>0</v>
      </c>
      <c r="K90" s="1145">
        <f t="shared" si="26"/>
        <v>3446700</v>
      </c>
      <c r="L90" s="1145">
        <f t="shared" si="26"/>
        <v>0</v>
      </c>
      <c r="M90" s="1145">
        <f>M92+M94</f>
        <v>0</v>
      </c>
      <c r="N90" s="1145">
        <f>N92+N94</f>
        <v>0</v>
      </c>
      <c r="O90" s="1145">
        <f t="shared" ref="O90:U90" si="27">O92+O94</f>
        <v>0</v>
      </c>
      <c r="P90" s="1145">
        <f t="shared" si="27"/>
        <v>0</v>
      </c>
      <c r="Q90" s="1145">
        <f t="shared" si="27"/>
        <v>0</v>
      </c>
      <c r="R90" s="1145">
        <f t="shared" si="27"/>
        <v>0</v>
      </c>
      <c r="S90" s="1145">
        <f t="shared" si="27"/>
        <v>0</v>
      </c>
      <c r="T90" s="1145">
        <f t="shared" si="27"/>
        <v>0</v>
      </c>
      <c r="U90" s="1145">
        <f t="shared" si="27"/>
        <v>0</v>
      </c>
      <c r="V90" s="1145">
        <f>M90+E90</f>
        <v>3446700</v>
      </c>
    </row>
    <row r="91" spans="1:22" ht="33" hidden="1" customHeight="1" x14ac:dyDescent="0.25">
      <c r="A91" s="1150" t="s">
        <v>975</v>
      </c>
      <c r="B91" s="1182">
        <v>3130</v>
      </c>
      <c r="C91" s="1183"/>
      <c r="D91" s="1188" t="s">
        <v>308</v>
      </c>
      <c r="E91" s="1145">
        <f t="shared" ref="E91:E97" si="28">F91+L91</f>
        <v>3446700</v>
      </c>
      <c r="F91" s="1153">
        <f t="shared" ref="F91:F97" si="29">SUM(G91:K91)</f>
        <v>3446700</v>
      </c>
      <c r="G91" s="1171">
        <f t="shared" ref="G91:L91" si="30">G92</f>
        <v>0</v>
      </c>
      <c r="H91" s="1171">
        <f t="shared" si="30"/>
        <v>0</v>
      </c>
      <c r="I91" s="1171">
        <f t="shared" si="30"/>
        <v>0</v>
      </c>
      <c r="J91" s="1171">
        <f t="shared" si="30"/>
        <v>0</v>
      </c>
      <c r="K91" s="1171">
        <f t="shared" si="30"/>
        <v>3446700</v>
      </c>
      <c r="L91" s="1171">
        <f t="shared" si="30"/>
        <v>0</v>
      </c>
      <c r="M91" s="1145"/>
      <c r="N91" s="1153"/>
      <c r="O91" s="1153"/>
      <c r="P91" s="1153"/>
      <c r="Q91" s="1153"/>
      <c r="R91" s="1153"/>
      <c r="S91" s="1153"/>
      <c r="T91" s="1153"/>
      <c r="U91" s="1154"/>
      <c r="V91" s="1145">
        <f t="shared" si="19"/>
        <v>3446700</v>
      </c>
    </row>
    <row r="92" spans="1:22" ht="15.6" x14ac:dyDescent="0.25">
      <c r="A92" s="1150" t="s">
        <v>976</v>
      </c>
      <c r="B92" s="1182">
        <v>3133</v>
      </c>
      <c r="C92" s="1183" t="s">
        <v>977</v>
      </c>
      <c r="D92" s="1189" t="s">
        <v>310</v>
      </c>
      <c r="E92" s="1145">
        <f t="shared" si="28"/>
        <v>3446700</v>
      </c>
      <c r="F92" s="1153">
        <f t="shared" si="29"/>
        <v>3446700</v>
      </c>
      <c r="G92" s="1174"/>
      <c r="H92" s="1174"/>
      <c r="I92" s="1174"/>
      <c r="J92" s="1174"/>
      <c r="K92" s="1171">
        <f>2972900+473800</f>
        <v>3446700</v>
      </c>
      <c r="L92" s="1171"/>
      <c r="M92" s="1145"/>
      <c r="N92" s="1153"/>
      <c r="O92" s="1153"/>
      <c r="P92" s="1153"/>
      <c r="Q92" s="1153"/>
      <c r="R92" s="1153"/>
      <c r="S92" s="1153"/>
      <c r="T92" s="1153"/>
      <c r="U92" s="1154"/>
      <c r="V92" s="1145">
        <f t="shared" si="19"/>
        <v>3446700</v>
      </c>
    </row>
    <row r="93" spans="1:22" ht="73.95" hidden="1" customHeight="1" x14ac:dyDescent="0.25">
      <c r="A93" s="1150" t="s">
        <v>978</v>
      </c>
      <c r="B93" s="1169">
        <v>3140</v>
      </c>
      <c r="C93" s="1151" t="s">
        <v>977</v>
      </c>
      <c r="D93" s="1176" t="s">
        <v>312</v>
      </c>
      <c r="E93" s="1145">
        <f t="shared" si="28"/>
        <v>0</v>
      </c>
      <c r="F93" s="1153">
        <f t="shared" si="29"/>
        <v>0</v>
      </c>
      <c r="G93" s="1153"/>
      <c r="H93" s="1153"/>
      <c r="I93" s="1153"/>
      <c r="J93" s="1153"/>
      <c r="K93" s="1153"/>
      <c r="L93" s="1153"/>
      <c r="M93" s="1145"/>
      <c r="N93" s="1153"/>
      <c r="O93" s="1153"/>
      <c r="P93" s="1153"/>
      <c r="Q93" s="1153"/>
      <c r="R93" s="1153"/>
      <c r="S93" s="1153"/>
      <c r="T93" s="1153"/>
      <c r="U93" s="1154"/>
      <c r="V93" s="1145">
        <f t="shared" si="19"/>
        <v>0</v>
      </c>
    </row>
    <row r="94" spans="1:22" ht="41.4" hidden="1" x14ac:dyDescent="0.25">
      <c r="A94" s="1150" t="s">
        <v>979</v>
      </c>
      <c r="B94" s="1169">
        <v>3230</v>
      </c>
      <c r="C94" s="1151" t="s">
        <v>980</v>
      </c>
      <c r="D94" s="1179" t="s">
        <v>981</v>
      </c>
      <c r="E94" s="1145">
        <f>F94</f>
        <v>0</v>
      </c>
      <c r="F94" s="1153">
        <f>SUM(G94:K94)</f>
        <v>0</v>
      </c>
      <c r="G94" s="1153"/>
      <c r="H94" s="1153"/>
      <c r="I94" s="1153"/>
      <c r="J94" s="1153"/>
      <c r="K94" s="1153"/>
      <c r="L94" s="1163"/>
      <c r="M94" s="1145">
        <f>O94+T94</f>
        <v>0</v>
      </c>
      <c r="N94" s="1153">
        <f>T94</f>
        <v>0</v>
      </c>
      <c r="O94" s="1163"/>
      <c r="P94" s="1163"/>
      <c r="Q94" s="1163"/>
      <c r="R94" s="1163"/>
      <c r="S94" s="1163"/>
      <c r="T94" s="1153"/>
      <c r="U94" s="1154"/>
      <c r="V94" s="1145">
        <f t="shared" si="19"/>
        <v>0</v>
      </c>
    </row>
    <row r="95" spans="1:22" ht="15.6" hidden="1" x14ac:dyDescent="0.25">
      <c r="A95" s="1150" t="s">
        <v>982</v>
      </c>
      <c r="B95" s="1169">
        <v>3240</v>
      </c>
      <c r="C95" s="1151"/>
      <c r="D95" s="1152" t="s">
        <v>340</v>
      </c>
      <c r="E95" s="1145">
        <f t="shared" si="28"/>
        <v>0</v>
      </c>
      <c r="F95" s="1153">
        <f t="shared" si="29"/>
        <v>0</v>
      </c>
      <c r="G95" s="1171">
        <f>G96+G97</f>
        <v>0</v>
      </c>
      <c r="H95" s="1171">
        <f>H96+H97</f>
        <v>0</v>
      </c>
      <c r="I95" s="1171">
        <f>I96+I97</f>
        <v>0</v>
      </c>
      <c r="J95" s="1171">
        <f>J96+J97</f>
        <v>0</v>
      </c>
      <c r="K95" s="1171">
        <f>K96+K97</f>
        <v>0</v>
      </c>
      <c r="L95" s="1171"/>
      <c r="M95" s="1145">
        <f>O95+T95</f>
        <v>0</v>
      </c>
      <c r="N95" s="1171">
        <f>N96+N97</f>
        <v>0</v>
      </c>
      <c r="O95" s="1171">
        <f t="shared" ref="O95:U95" si="31">O96+O97</f>
        <v>0</v>
      </c>
      <c r="P95" s="1171">
        <f t="shared" si="31"/>
        <v>0</v>
      </c>
      <c r="Q95" s="1171">
        <f t="shared" si="31"/>
        <v>0</v>
      </c>
      <c r="R95" s="1171">
        <f t="shared" si="31"/>
        <v>0</v>
      </c>
      <c r="S95" s="1171">
        <f t="shared" si="31"/>
        <v>0</v>
      </c>
      <c r="T95" s="1171">
        <f t="shared" si="31"/>
        <v>0</v>
      </c>
      <c r="U95" s="1190">
        <f t="shared" si="31"/>
        <v>0</v>
      </c>
      <c r="V95" s="1145">
        <f t="shared" si="19"/>
        <v>0</v>
      </c>
    </row>
    <row r="96" spans="1:22" ht="27.6" hidden="1" x14ac:dyDescent="0.25">
      <c r="A96" s="1150" t="s">
        <v>983</v>
      </c>
      <c r="B96" s="1169">
        <v>3241</v>
      </c>
      <c r="C96" s="1151" t="s">
        <v>984</v>
      </c>
      <c r="D96" s="1152" t="s">
        <v>342</v>
      </c>
      <c r="E96" s="1145">
        <f t="shared" si="28"/>
        <v>0</v>
      </c>
      <c r="F96" s="1153">
        <f t="shared" si="29"/>
        <v>0</v>
      </c>
      <c r="G96" s="1171"/>
      <c r="H96" s="1171"/>
      <c r="I96" s="1171"/>
      <c r="J96" s="1171"/>
      <c r="K96" s="1171"/>
      <c r="L96" s="1171"/>
      <c r="M96" s="1145">
        <f>O96+T96</f>
        <v>0</v>
      </c>
      <c r="N96" s="1153"/>
      <c r="O96" s="1153"/>
      <c r="P96" s="1153"/>
      <c r="Q96" s="1153"/>
      <c r="R96" s="1153"/>
      <c r="S96" s="1153"/>
      <c r="T96" s="1153"/>
      <c r="U96" s="1154"/>
      <c r="V96" s="1145">
        <f t="shared" si="19"/>
        <v>0</v>
      </c>
    </row>
    <row r="97" spans="1:22" ht="27.6" hidden="1" x14ac:dyDescent="0.25">
      <c r="A97" s="1150" t="s">
        <v>985</v>
      </c>
      <c r="B97" s="1169">
        <v>3242</v>
      </c>
      <c r="C97" s="1151" t="s">
        <v>984</v>
      </c>
      <c r="D97" s="1152" t="s">
        <v>344</v>
      </c>
      <c r="E97" s="1145">
        <f t="shared" si="28"/>
        <v>0</v>
      </c>
      <c r="F97" s="1153">
        <f t="shared" si="29"/>
        <v>0</v>
      </c>
      <c r="G97" s="1171"/>
      <c r="H97" s="1171"/>
      <c r="I97" s="1171"/>
      <c r="J97" s="1171"/>
      <c r="K97" s="1171"/>
      <c r="L97" s="1171"/>
      <c r="M97" s="1145">
        <f>O97+T97</f>
        <v>0</v>
      </c>
      <c r="N97" s="1153"/>
      <c r="O97" s="1153"/>
      <c r="P97" s="1153"/>
      <c r="Q97" s="1153"/>
      <c r="R97" s="1153"/>
      <c r="S97" s="1153"/>
      <c r="T97" s="1153"/>
      <c r="U97" s="1154"/>
      <c r="V97" s="1145">
        <f t="shared" si="19"/>
        <v>0</v>
      </c>
    </row>
    <row r="98" spans="1:22" ht="16.5" customHeight="1" x14ac:dyDescent="0.25">
      <c r="A98" s="1150" t="s">
        <v>887</v>
      </c>
      <c r="B98" s="1155">
        <v>4000</v>
      </c>
      <c r="C98" s="1150" t="s">
        <v>887</v>
      </c>
      <c r="D98" s="1156" t="s">
        <v>986</v>
      </c>
      <c r="E98" s="1145">
        <f t="shared" ref="E98:U98" si="32">E99+E100+E101+E102</f>
        <v>57174551</v>
      </c>
      <c r="F98" s="1145">
        <f t="shared" si="32"/>
        <v>57174551</v>
      </c>
      <c r="G98" s="1145">
        <f t="shared" si="32"/>
        <v>23851935</v>
      </c>
      <c r="H98" s="1145">
        <f t="shared" si="32"/>
        <v>0</v>
      </c>
      <c r="I98" s="1145">
        <f t="shared" si="32"/>
        <v>0</v>
      </c>
      <c r="J98" s="1145">
        <f t="shared" si="32"/>
        <v>6269703</v>
      </c>
      <c r="K98" s="1145">
        <f t="shared" si="32"/>
        <v>27052913</v>
      </c>
      <c r="L98" s="1145">
        <f t="shared" si="32"/>
        <v>0</v>
      </c>
      <c r="M98" s="1145">
        <f t="shared" si="32"/>
        <v>655725</v>
      </c>
      <c r="N98" s="1145">
        <f t="shared" si="32"/>
        <v>0</v>
      </c>
      <c r="O98" s="1145">
        <f t="shared" si="32"/>
        <v>655725</v>
      </c>
      <c r="P98" s="1145">
        <f t="shared" si="32"/>
        <v>15600</v>
      </c>
      <c r="Q98" s="1145">
        <f t="shared" si="32"/>
        <v>0</v>
      </c>
      <c r="R98" s="1145">
        <f t="shared" si="32"/>
        <v>0</v>
      </c>
      <c r="S98" s="1145">
        <f t="shared" si="32"/>
        <v>166203</v>
      </c>
      <c r="T98" s="1145">
        <f>T99+T100+T101+T102+T103</f>
        <v>0</v>
      </c>
      <c r="U98" s="1146">
        <f t="shared" si="32"/>
        <v>0</v>
      </c>
      <c r="V98" s="1145">
        <f>M98+E98</f>
        <v>57830276</v>
      </c>
    </row>
    <row r="99" spans="1:22" ht="17.7" customHeight="1" x14ac:dyDescent="0.25">
      <c r="A99" s="1150" t="s">
        <v>987</v>
      </c>
      <c r="B99" s="1169">
        <v>4030</v>
      </c>
      <c r="C99" s="1151" t="s">
        <v>988</v>
      </c>
      <c r="D99" s="1152" t="s">
        <v>361</v>
      </c>
      <c r="E99" s="1145">
        <f t="shared" ref="E99:E104" si="33">F99+L99</f>
        <v>21025390</v>
      </c>
      <c r="F99" s="1153">
        <f t="shared" ref="F99:F104" si="34">SUM(G99:K99)</f>
        <v>21025390</v>
      </c>
      <c r="G99" s="1153">
        <v>14108576</v>
      </c>
      <c r="H99" s="1153"/>
      <c r="I99" s="1153"/>
      <c r="J99" s="1153">
        <v>3008548</v>
      </c>
      <c r="K99" s="1153">
        <f>21025390-14108576-3008548</f>
        <v>3908266</v>
      </c>
      <c r="L99" s="1181"/>
      <c r="M99" s="1145">
        <f>O99+T99</f>
        <v>10000</v>
      </c>
      <c r="N99" s="1153">
        <f>T99</f>
        <v>0</v>
      </c>
      <c r="O99" s="1153">
        <v>10000</v>
      </c>
      <c r="P99" s="1153"/>
      <c r="Q99" s="1153"/>
      <c r="R99" s="1153"/>
      <c r="S99" s="1153"/>
      <c r="T99" s="1153"/>
      <c r="U99" s="1154"/>
      <c r="V99" s="1145">
        <f t="shared" si="19"/>
        <v>21035390</v>
      </c>
    </row>
    <row r="100" spans="1:22" ht="15.6" x14ac:dyDescent="0.25">
      <c r="A100" s="1150" t="s">
        <v>989</v>
      </c>
      <c r="B100" s="1169">
        <v>4040</v>
      </c>
      <c r="C100" s="1191" t="s">
        <v>988</v>
      </c>
      <c r="D100" s="1179" t="s">
        <v>363</v>
      </c>
      <c r="E100" s="1145">
        <f t="shared" si="33"/>
        <v>2390573</v>
      </c>
      <c r="F100" s="1153">
        <f t="shared" si="34"/>
        <v>2390573</v>
      </c>
      <c r="G100" s="1153">
        <v>1675791</v>
      </c>
      <c r="H100" s="1153"/>
      <c r="I100" s="1153"/>
      <c r="J100" s="1153">
        <v>147717</v>
      </c>
      <c r="K100" s="1153">
        <f>2390573-1675791-147717</f>
        <v>567065</v>
      </c>
      <c r="L100" s="1181"/>
      <c r="M100" s="1145">
        <f>O100+T100</f>
        <v>20000</v>
      </c>
      <c r="N100" s="1153"/>
      <c r="O100" s="1153">
        <v>20000</v>
      </c>
      <c r="P100" s="1153">
        <v>15600</v>
      </c>
      <c r="Q100" s="1153"/>
      <c r="R100" s="1153"/>
      <c r="S100" s="1153"/>
      <c r="T100" s="1153"/>
      <c r="U100" s="1154"/>
      <c r="V100" s="1145">
        <f t="shared" si="19"/>
        <v>2410573</v>
      </c>
    </row>
    <row r="101" spans="1:22" ht="46.95" customHeight="1" x14ac:dyDescent="0.25">
      <c r="A101" s="1150" t="s">
        <v>990</v>
      </c>
      <c r="B101" s="1169">
        <v>4060</v>
      </c>
      <c r="C101" s="1151" t="s">
        <v>991</v>
      </c>
      <c r="D101" s="1152" t="s">
        <v>365</v>
      </c>
      <c r="E101" s="1145">
        <f t="shared" si="33"/>
        <v>12132648</v>
      </c>
      <c r="F101" s="1153">
        <f t="shared" si="34"/>
        <v>12132648</v>
      </c>
      <c r="G101" s="1153">
        <f>6814632+491810</f>
        <v>7306442</v>
      </c>
      <c r="H101" s="1153"/>
      <c r="I101" s="1153"/>
      <c r="J101" s="1153">
        <v>3081280</v>
      </c>
      <c r="K101" s="1153">
        <f>11532648-6814632-3081280+108190</f>
        <v>1744926</v>
      </c>
      <c r="L101" s="1181"/>
      <c r="M101" s="1145">
        <f>O101+T101</f>
        <v>625725</v>
      </c>
      <c r="N101" s="1153">
        <f>T101</f>
        <v>0</v>
      </c>
      <c r="O101" s="1153">
        <v>625725</v>
      </c>
      <c r="P101" s="1153"/>
      <c r="Q101" s="1153"/>
      <c r="R101" s="1153"/>
      <c r="S101" s="1153">
        <v>166203</v>
      </c>
      <c r="T101" s="1153"/>
      <c r="U101" s="1154"/>
      <c r="V101" s="1145">
        <f t="shared" si="19"/>
        <v>12758373</v>
      </c>
    </row>
    <row r="102" spans="1:22" ht="15.6" hidden="1" x14ac:dyDescent="0.25">
      <c r="A102" s="1150" t="s">
        <v>992</v>
      </c>
      <c r="B102" s="1169">
        <v>4080</v>
      </c>
      <c r="C102" s="1151"/>
      <c r="D102" s="1152" t="s">
        <v>367</v>
      </c>
      <c r="E102" s="1145">
        <f>F102+L102</f>
        <v>21625940</v>
      </c>
      <c r="F102" s="1153">
        <f>SUM(F103:F104)</f>
        <v>21625940</v>
      </c>
      <c r="G102" s="1153">
        <f>G103+G104</f>
        <v>761126</v>
      </c>
      <c r="H102" s="1153">
        <f t="shared" ref="H102:U102" si="35">SUM(H103:H104)</f>
        <v>0</v>
      </c>
      <c r="I102" s="1153">
        <f t="shared" si="35"/>
        <v>0</v>
      </c>
      <c r="J102" s="1153">
        <f>J103+J104</f>
        <v>32158</v>
      </c>
      <c r="K102" s="1153">
        <f>K103+K104</f>
        <v>20832656</v>
      </c>
      <c r="L102" s="1153">
        <f t="shared" si="35"/>
        <v>0</v>
      </c>
      <c r="M102" s="1145">
        <f>O102+T102</f>
        <v>0</v>
      </c>
      <c r="N102" s="1153">
        <f t="shared" si="35"/>
        <v>0</v>
      </c>
      <c r="O102" s="1153">
        <f t="shared" si="35"/>
        <v>0</v>
      </c>
      <c r="P102" s="1153">
        <f t="shared" si="35"/>
        <v>0</v>
      </c>
      <c r="Q102" s="1153">
        <f t="shared" si="35"/>
        <v>0</v>
      </c>
      <c r="R102" s="1153">
        <f t="shared" si="35"/>
        <v>0</v>
      </c>
      <c r="S102" s="1153">
        <f t="shared" si="35"/>
        <v>0</v>
      </c>
      <c r="T102" s="1153">
        <f t="shared" si="35"/>
        <v>0</v>
      </c>
      <c r="U102" s="1154">
        <f t="shared" si="35"/>
        <v>0</v>
      </c>
      <c r="V102" s="1145">
        <f t="shared" si="19"/>
        <v>21625940</v>
      </c>
    </row>
    <row r="103" spans="1:22" ht="31.95" customHeight="1" x14ac:dyDescent="0.25">
      <c r="A103" s="1150" t="s">
        <v>993</v>
      </c>
      <c r="B103" s="1169">
        <v>4081</v>
      </c>
      <c r="C103" s="1151" t="s">
        <v>994</v>
      </c>
      <c r="D103" s="1152" t="s">
        <v>995</v>
      </c>
      <c r="E103" s="1145">
        <f t="shared" si="33"/>
        <v>18291653</v>
      </c>
      <c r="F103" s="1153">
        <f t="shared" si="34"/>
        <v>18291653</v>
      </c>
      <c r="G103" s="1153">
        <v>761126</v>
      </c>
      <c r="H103" s="1153"/>
      <c r="I103" s="1153"/>
      <c r="J103" s="1153">
        <v>32158</v>
      </c>
      <c r="K103" s="1153">
        <f>18291653-761126-32158</f>
        <v>17498369</v>
      </c>
      <c r="L103" s="1181"/>
      <c r="M103" s="1145"/>
      <c r="N103" s="1153"/>
      <c r="O103" s="1153"/>
      <c r="P103" s="1181"/>
      <c r="Q103" s="1181"/>
      <c r="R103" s="1181"/>
      <c r="S103" s="1181"/>
      <c r="T103" s="1153"/>
      <c r="U103" s="1192"/>
      <c r="V103" s="1145">
        <f t="shared" si="19"/>
        <v>18291653</v>
      </c>
    </row>
    <row r="104" spans="1:22" ht="15.6" x14ac:dyDescent="0.25">
      <c r="A104" s="1150" t="s">
        <v>996</v>
      </c>
      <c r="B104" s="1169">
        <v>4082</v>
      </c>
      <c r="C104" s="1151" t="s">
        <v>994</v>
      </c>
      <c r="D104" s="1152" t="s">
        <v>371</v>
      </c>
      <c r="E104" s="1145">
        <f t="shared" si="33"/>
        <v>3334287</v>
      </c>
      <c r="F104" s="1153">
        <f t="shared" si="34"/>
        <v>3334287</v>
      </c>
      <c r="G104" s="1153"/>
      <c r="H104" s="1153"/>
      <c r="I104" s="1153"/>
      <c r="J104" s="1153"/>
      <c r="K104" s="1153">
        <f>2434287+900000</f>
        <v>3334287</v>
      </c>
      <c r="L104" s="1181"/>
      <c r="M104" s="1145">
        <f>O104+T104</f>
        <v>0</v>
      </c>
      <c r="N104" s="1153">
        <f>T104</f>
        <v>0</v>
      </c>
      <c r="O104" s="1153"/>
      <c r="P104" s="1181"/>
      <c r="Q104" s="1181"/>
      <c r="R104" s="1181"/>
      <c r="S104" s="1181"/>
      <c r="T104" s="1153"/>
      <c r="U104" s="1154"/>
      <c r="V104" s="1145">
        <f t="shared" si="19"/>
        <v>3334287</v>
      </c>
    </row>
    <row r="105" spans="1:22" ht="17.7" customHeight="1" x14ac:dyDescent="0.25">
      <c r="A105" s="1150" t="s">
        <v>887</v>
      </c>
      <c r="B105" s="1155">
        <v>5000</v>
      </c>
      <c r="C105" s="1150" t="s">
        <v>887</v>
      </c>
      <c r="D105" s="1156" t="s">
        <v>373</v>
      </c>
      <c r="E105" s="1145">
        <f>E106+E109+E113+E117</f>
        <v>122410406</v>
      </c>
      <c r="F105" s="1145">
        <f>F106+F109+F113++F117</f>
        <v>122410406</v>
      </c>
      <c r="G105" s="1145">
        <f>G106+G109+G113+G117</f>
        <v>53947242</v>
      </c>
      <c r="H105" s="1145">
        <f>H106+H109+H113+H117</f>
        <v>19828</v>
      </c>
      <c r="I105" s="1145">
        <f>I106+I109+I113+I117</f>
        <v>0</v>
      </c>
      <c r="J105" s="1145">
        <f>J106+J109+J113+J117</f>
        <v>5066262</v>
      </c>
      <c r="K105" s="1145">
        <f>K106+K109+K113+K117</f>
        <v>63377074</v>
      </c>
      <c r="L105" s="1145">
        <f>L106+L109+L113++L117</f>
        <v>0</v>
      </c>
      <c r="M105" s="1145">
        <f t="shared" ref="M105:U105" si="36">M107+M110+M114+M119+M118</f>
        <v>35000</v>
      </c>
      <c r="N105" s="1145">
        <f>N107+N110+N114+N119+N118</f>
        <v>0</v>
      </c>
      <c r="O105" s="1145">
        <f t="shared" si="36"/>
        <v>35000</v>
      </c>
      <c r="P105" s="1145">
        <f t="shared" si="36"/>
        <v>0</v>
      </c>
      <c r="Q105" s="1145">
        <f t="shared" si="36"/>
        <v>0</v>
      </c>
      <c r="R105" s="1145">
        <f t="shared" si="36"/>
        <v>0</v>
      </c>
      <c r="S105" s="1145">
        <f t="shared" si="36"/>
        <v>0</v>
      </c>
      <c r="T105" s="1145">
        <f>T107+T110+T114+T119+T118</f>
        <v>0</v>
      </c>
      <c r="U105" s="1146">
        <f t="shared" si="36"/>
        <v>0</v>
      </c>
      <c r="V105" s="1145">
        <f t="shared" si="19"/>
        <v>122445406</v>
      </c>
    </row>
    <row r="106" spans="1:22" ht="15.6" hidden="1" x14ac:dyDescent="0.25">
      <c r="A106" s="1150" t="s">
        <v>997</v>
      </c>
      <c r="B106" s="1169">
        <v>5010</v>
      </c>
      <c r="C106" s="1150"/>
      <c r="D106" s="1156" t="s">
        <v>998</v>
      </c>
      <c r="E106" s="1145">
        <f>E107+E108</f>
        <v>664046</v>
      </c>
      <c r="F106" s="1172">
        <f>F107+F108</f>
        <v>664046</v>
      </c>
      <c r="G106" s="1172">
        <f t="shared" ref="G106:L106" si="37">G107+G108</f>
        <v>0</v>
      </c>
      <c r="H106" s="1172">
        <f t="shared" si="37"/>
        <v>0</v>
      </c>
      <c r="I106" s="1172">
        <f t="shared" si="37"/>
        <v>0</v>
      </c>
      <c r="J106" s="1172">
        <f t="shared" si="37"/>
        <v>0</v>
      </c>
      <c r="K106" s="1172">
        <f>K107+K108</f>
        <v>664046</v>
      </c>
      <c r="L106" s="1172">
        <f t="shared" si="37"/>
        <v>0</v>
      </c>
      <c r="M106" s="1145"/>
      <c r="N106" s="1157"/>
      <c r="O106" s="1157"/>
      <c r="P106" s="1157"/>
      <c r="Q106" s="1157"/>
      <c r="R106" s="1157"/>
      <c r="S106" s="1157"/>
      <c r="T106" s="1157"/>
      <c r="U106" s="1193"/>
      <c r="V106" s="1145">
        <f t="shared" si="19"/>
        <v>664046</v>
      </c>
    </row>
    <row r="107" spans="1:22" ht="36.6" customHeight="1" x14ac:dyDescent="0.25">
      <c r="A107" s="1150" t="s">
        <v>999</v>
      </c>
      <c r="B107" s="1169">
        <v>5011</v>
      </c>
      <c r="C107" s="1151" t="s">
        <v>1000</v>
      </c>
      <c r="D107" s="1176" t="s">
        <v>1001</v>
      </c>
      <c r="E107" s="1145">
        <f>F107+L107</f>
        <v>519062</v>
      </c>
      <c r="F107" s="1153">
        <f>SUM(G107:K107)</f>
        <v>519062</v>
      </c>
      <c r="G107" s="1153"/>
      <c r="H107" s="1153"/>
      <c r="I107" s="1153"/>
      <c r="J107" s="1153"/>
      <c r="K107" s="1153">
        <v>519062</v>
      </c>
      <c r="L107" s="1153"/>
      <c r="M107" s="1145"/>
      <c r="N107" s="1181"/>
      <c r="O107" s="1181"/>
      <c r="P107" s="1181"/>
      <c r="Q107" s="1181"/>
      <c r="R107" s="1181"/>
      <c r="S107" s="1181"/>
      <c r="T107" s="1181"/>
      <c r="U107" s="1192"/>
      <c r="V107" s="1145">
        <f t="shared" si="19"/>
        <v>519062</v>
      </c>
    </row>
    <row r="108" spans="1:22" ht="37.200000000000003" customHeight="1" x14ac:dyDescent="0.25">
      <c r="A108" s="1150" t="s">
        <v>1002</v>
      </c>
      <c r="B108" s="1169">
        <v>5012</v>
      </c>
      <c r="C108" s="1151" t="s">
        <v>1000</v>
      </c>
      <c r="D108" s="1194" t="s">
        <v>1003</v>
      </c>
      <c r="E108" s="1145">
        <f>F108+L108</f>
        <v>144984</v>
      </c>
      <c r="F108" s="1153">
        <f>SUM(G108:K108)</f>
        <v>144984</v>
      </c>
      <c r="G108" s="1153"/>
      <c r="H108" s="1153"/>
      <c r="I108" s="1153">
        <f>114559-114559</f>
        <v>0</v>
      </c>
      <c r="J108" s="1153"/>
      <c r="K108" s="1153">
        <v>144984</v>
      </c>
      <c r="L108" s="1153"/>
      <c r="M108" s="1145"/>
      <c r="N108" s="1181"/>
      <c r="O108" s="1181"/>
      <c r="P108" s="1181"/>
      <c r="Q108" s="1181"/>
      <c r="R108" s="1181"/>
      <c r="S108" s="1181"/>
      <c r="T108" s="1181"/>
      <c r="U108" s="1192"/>
      <c r="V108" s="1145">
        <f t="shared" si="19"/>
        <v>144984</v>
      </c>
    </row>
    <row r="109" spans="1:22" ht="15.6" hidden="1" x14ac:dyDescent="0.25">
      <c r="A109" s="1150" t="s">
        <v>1004</v>
      </c>
      <c r="B109" s="1182">
        <v>5030</v>
      </c>
      <c r="C109" s="1183"/>
      <c r="D109" s="1195" t="s">
        <v>1005</v>
      </c>
      <c r="E109" s="1145">
        <f>E110</f>
        <v>79693060</v>
      </c>
      <c r="F109" s="1153">
        <f>F110</f>
        <v>79693060</v>
      </c>
      <c r="G109" s="1153">
        <f t="shared" ref="G109:L109" si="38">G110</f>
        <v>52168845</v>
      </c>
      <c r="H109" s="1153">
        <f t="shared" si="38"/>
        <v>19828</v>
      </c>
      <c r="I109" s="1153">
        <f t="shared" si="38"/>
        <v>0</v>
      </c>
      <c r="J109" s="1153">
        <f t="shared" si="38"/>
        <v>4945847</v>
      </c>
      <c r="K109" s="1153">
        <f>K110</f>
        <v>22558540</v>
      </c>
      <c r="L109" s="1153">
        <f t="shared" si="38"/>
        <v>0</v>
      </c>
      <c r="M109" s="1145">
        <f>M110+M114</f>
        <v>35000</v>
      </c>
      <c r="N109" s="1181">
        <f>N110</f>
        <v>0</v>
      </c>
      <c r="O109" s="1181">
        <f>O110+O114</f>
        <v>35000</v>
      </c>
      <c r="P109" s="1181"/>
      <c r="Q109" s="1181"/>
      <c r="R109" s="1181"/>
      <c r="S109" s="1181"/>
      <c r="T109" s="1181">
        <f>T110</f>
        <v>0</v>
      </c>
      <c r="U109" s="1192">
        <f>U110</f>
        <v>0</v>
      </c>
      <c r="V109" s="1145">
        <f t="shared" si="19"/>
        <v>79728060</v>
      </c>
    </row>
    <row r="110" spans="1:22" ht="31.2" customHeight="1" x14ac:dyDescent="0.25">
      <c r="A110" s="1150" t="s">
        <v>1006</v>
      </c>
      <c r="B110" s="1182">
        <v>5031</v>
      </c>
      <c r="C110" s="1183" t="s">
        <v>1000</v>
      </c>
      <c r="D110" s="1188" t="s">
        <v>1007</v>
      </c>
      <c r="E110" s="1145">
        <f>F110+L110</f>
        <v>79693060</v>
      </c>
      <c r="F110" s="1153">
        <f>SUM(G110:K110)</f>
        <v>79693060</v>
      </c>
      <c r="G110" s="1153">
        <f>51185235+983610</f>
        <v>52168845</v>
      </c>
      <c r="H110" s="1153">
        <v>19828</v>
      </c>
      <c r="I110" s="1153"/>
      <c r="J110" s="1153">
        <v>4945847</v>
      </c>
      <c r="K110" s="1153">
        <f>76493060-51185235-19828-4945847+216390+2000000</f>
        <v>22558540</v>
      </c>
      <c r="L110" s="1153"/>
      <c r="M110" s="1145">
        <f>O110+T110</f>
        <v>35000</v>
      </c>
      <c r="N110" s="1153">
        <f>T110</f>
        <v>0</v>
      </c>
      <c r="O110" s="1153">
        <v>35000</v>
      </c>
      <c r="P110" s="1153"/>
      <c r="Q110" s="1153"/>
      <c r="R110" s="1153"/>
      <c r="S110" s="1153"/>
      <c r="T110" s="1153"/>
      <c r="U110" s="1154"/>
      <c r="V110" s="1145">
        <f t="shared" si="19"/>
        <v>79728060</v>
      </c>
    </row>
    <row r="111" spans="1:22" s="1166" customFormat="1" ht="27.6" hidden="1" x14ac:dyDescent="0.25">
      <c r="A111" s="1159"/>
      <c r="B111" s="1196"/>
      <c r="C111" s="1185"/>
      <c r="D111" s="1160" t="s">
        <v>1008</v>
      </c>
      <c r="E111" s="1161"/>
      <c r="F111" s="1163"/>
      <c r="G111" s="1163"/>
      <c r="H111" s="1163"/>
      <c r="I111" s="1163"/>
      <c r="J111" s="1163"/>
      <c r="K111" s="1163"/>
      <c r="L111" s="1163"/>
      <c r="M111" s="1145">
        <f t="shared" ref="M111:M118" si="39">O111+T111</f>
        <v>0</v>
      </c>
      <c r="N111" s="1163"/>
      <c r="O111" s="1163"/>
      <c r="P111" s="1163"/>
      <c r="Q111" s="1163"/>
      <c r="R111" s="1163"/>
      <c r="S111" s="1163"/>
      <c r="T111" s="1163"/>
      <c r="U111" s="1165"/>
      <c r="V111" s="1161">
        <f t="shared" si="19"/>
        <v>0</v>
      </c>
    </row>
    <row r="112" spans="1:22" s="1166" customFormat="1" ht="16.2" hidden="1" x14ac:dyDescent="0.25">
      <c r="A112" s="1159"/>
      <c r="B112" s="1196"/>
      <c r="C112" s="1185"/>
      <c r="D112" s="1160" t="s">
        <v>904</v>
      </c>
      <c r="E112" s="1161">
        <f>F112</f>
        <v>0</v>
      </c>
      <c r="F112" s="1163">
        <f>SUM(G112:K112)</f>
        <v>0</v>
      </c>
      <c r="G112" s="1163"/>
      <c r="H112" s="1163"/>
      <c r="I112" s="1163"/>
      <c r="J112" s="1163"/>
      <c r="K112" s="1163"/>
      <c r="L112" s="1163"/>
      <c r="M112" s="1145">
        <f t="shared" si="39"/>
        <v>0</v>
      </c>
      <c r="N112" s="1163"/>
      <c r="O112" s="1163"/>
      <c r="P112" s="1163"/>
      <c r="Q112" s="1163"/>
      <c r="R112" s="1163"/>
      <c r="S112" s="1163"/>
      <c r="T112" s="1163"/>
      <c r="U112" s="1165"/>
      <c r="V112" s="1161">
        <f>E112+M112</f>
        <v>0</v>
      </c>
    </row>
    <row r="113" spans="1:22" ht="15.6" hidden="1" x14ac:dyDescent="0.25">
      <c r="A113" s="1150" t="s">
        <v>1009</v>
      </c>
      <c r="B113" s="1182">
        <v>5040</v>
      </c>
      <c r="C113" s="1183"/>
      <c r="D113" s="1195" t="s">
        <v>1010</v>
      </c>
      <c r="E113" s="1145">
        <f>E114+E115</f>
        <v>17241661</v>
      </c>
      <c r="F113" s="1153">
        <f>F114+F115</f>
        <v>17241661</v>
      </c>
      <c r="G113" s="1153">
        <f>G114+G115</f>
        <v>0</v>
      </c>
      <c r="H113" s="1153">
        <f>H114</f>
        <v>0</v>
      </c>
      <c r="I113" s="1153">
        <f>I114</f>
        <v>0</v>
      </c>
      <c r="J113" s="1153">
        <f>J114</f>
        <v>0</v>
      </c>
      <c r="K113" s="1153">
        <f>K114+K115</f>
        <v>17241661</v>
      </c>
      <c r="L113" s="1153">
        <f>L114</f>
        <v>0</v>
      </c>
      <c r="M113" s="1145">
        <f t="shared" si="39"/>
        <v>0</v>
      </c>
      <c r="N113" s="1181">
        <f>N114</f>
        <v>0</v>
      </c>
      <c r="O113" s="1153"/>
      <c r="P113" s="1153"/>
      <c r="Q113" s="1153"/>
      <c r="R113" s="1153"/>
      <c r="S113" s="1153"/>
      <c r="T113" s="1181">
        <f>T114</f>
        <v>0</v>
      </c>
      <c r="U113" s="1192">
        <f>U114</f>
        <v>0</v>
      </c>
      <c r="V113" s="1145">
        <f>M113+E113</f>
        <v>17241661</v>
      </c>
    </row>
    <row r="114" spans="1:22" ht="31.95" customHeight="1" x14ac:dyDescent="0.25">
      <c r="A114" s="1150" t="s">
        <v>1011</v>
      </c>
      <c r="B114" s="1182">
        <v>5041</v>
      </c>
      <c r="C114" s="1183" t="s">
        <v>1000</v>
      </c>
      <c r="D114" s="1188" t="s">
        <v>1012</v>
      </c>
      <c r="E114" s="1145">
        <f>F114+L114</f>
        <v>17241661</v>
      </c>
      <c r="F114" s="1153">
        <f>SUM(G114:K114)</f>
        <v>17241661</v>
      </c>
      <c r="G114" s="1153"/>
      <c r="H114" s="1153"/>
      <c r="I114" s="1153"/>
      <c r="J114" s="1153"/>
      <c r="K114" s="1153">
        <v>17241661</v>
      </c>
      <c r="L114" s="1153"/>
      <c r="M114" s="1145">
        <f t="shared" si="39"/>
        <v>0</v>
      </c>
      <c r="N114" s="1153">
        <f>T114</f>
        <v>0</v>
      </c>
      <c r="O114" s="1153"/>
      <c r="P114" s="1181"/>
      <c r="Q114" s="1181"/>
      <c r="R114" s="1181"/>
      <c r="S114" s="1181"/>
      <c r="T114" s="1153"/>
      <c r="U114" s="1154"/>
      <c r="V114" s="1145">
        <f t="shared" ref="V114:V125" si="40">M114+E114</f>
        <v>17241661</v>
      </c>
    </row>
    <row r="115" spans="1:22" ht="31.95" hidden="1" customHeight="1" x14ac:dyDescent="0.25">
      <c r="A115" s="1150" t="s">
        <v>1013</v>
      </c>
      <c r="B115" s="1182">
        <v>5049</v>
      </c>
      <c r="C115" s="1183" t="s">
        <v>1000</v>
      </c>
      <c r="D115" s="1197" t="s">
        <v>1014</v>
      </c>
      <c r="E115" s="1145">
        <f>F115+L115</f>
        <v>0</v>
      </c>
      <c r="F115" s="1153">
        <f>SUM(G115:K115)</f>
        <v>0</v>
      </c>
      <c r="G115" s="1172">
        <f>G116</f>
        <v>0</v>
      </c>
      <c r="H115" s="1172"/>
      <c r="I115" s="1172"/>
      <c r="J115" s="1172"/>
      <c r="K115" s="1172">
        <f>K116</f>
        <v>0</v>
      </c>
      <c r="L115" s="1153"/>
      <c r="M115" s="1145"/>
      <c r="N115" s="1153"/>
      <c r="O115" s="1153"/>
      <c r="P115" s="1181"/>
      <c r="Q115" s="1181"/>
      <c r="R115" s="1181"/>
      <c r="S115" s="1181"/>
      <c r="T115" s="1153"/>
      <c r="U115" s="1154"/>
      <c r="V115" s="1145">
        <f t="shared" si="40"/>
        <v>0</v>
      </c>
    </row>
    <row r="116" spans="1:22" s="1166" customFormat="1" ht="63" hidden="1" customHeight="1" x14ac:dyDescent="0.25">
      <c r="A116" s="1159"/>
      <c r="B116" s="1196"/>
      <c r="C116" s="1185"/>
      <c r="D116" s="1198" t="s">
        <v>1015</v>
      </c>
      <c r="E116" s="1161">
        <f>E115</f>
        <v>0</v>
      </c>
      <c r="F116" s="1163">
        <f>F115</f>
        <v>0</v>
      </c>
      <c r="G116" s="1162"/>
      <c r="H116" s="1162"/>
      <c r="I116" s="1162"/>
      <c r="J116" s="1162"/>
      <c r="K116" s="1162"/>
      <c r="L116" s="1163"/>
      <c r="M116" s="1161"/>
      <c r="N116" s="1163"/>
      <c r="O116" s="1163"/>
      <c r="P116" s="1164"/>
      <c r="Q116" s="1164"/>
      <c r="R116" s="1164"/>
      <c r="S116" s="1164"/>
      <c r="T116" s="1163"/>
      <c r="U116" s="1165"/>
      <c r="V116" s="1161">
        <f>V115</f>
        <v>0</v>
      </c>
    </row>
    <row r="117" spans="1:22" ht="15.6" hidden="1" x14ac:dyDescent="0.25">
      <c r="A117" s="1150" t="s">
        <v>1016</v>
      </c>
      <c r="B117" s="1182">
        <v>5060</v>
      </c>
      <c r="C117" s="1183"/>
      <c r="D117" s="1199" t="s">
        <v>1017</v>
      </c>
      <c r="E117" s="1145">
        <f>F117+L117</f>
        <v>24811639</v>
      </c>
      <c r="F117" s="1153">
        <f t="shared" ref="F117:L117" si="41">F118+F119</f>
        <v>24811639</v>
      </c>
      <c r="G117" s="1153">
        <f t="shared" si="41"/>
        <v>1778397</v>
      </c>
      <c r="H117" s="1153">
        <f t="shared" si="41"/>
        <v>0</v>
      </c>
      <c r="I117" s="1153">
        <f t="shared" si="41"/>
        <v>0</v>
      </c>
      <c r="J117" s="1153">
        <f t="shared" si="41"/>
        <v>120415</v>
      </c>
      <c r="K117" s="1153">
        <f t="shared" si="41"/>
        <v>22912827</v>
      </c>
      <c r="L117" s="1153">
        <f t="shared" si="41"/>
        <v>0</v>
      </c>
      <c r="M117" s="1145">
        <f t="shared" si="39"/>
        <v>0</v>
      </c>
      <c r="N117" s="1153"/>
      <c r="O117" s="1153"/>
      <c r="P117" s="1181"/>
      <c r="Q117" s="1181"/>
      <c r="R117" s="1181"/>
      <c r="S117" s="1181"/>
      <c r="T117" s="1153"/>
      <c r="U117" s="1154"/>
      <c r="V117" s="1145">
        <f t="shared" si="40"/>
        <v>24811639</v>
      </c>
    </row>
    <row r="118" spans="1:22" ht="50.4" customHeight="1" x14ac:dyDescent="0.25">
      <c r="A118" s="1150" t="s">
        <v>1018</v>
      </c>
      <c r="B118" s="1182">
        <v>5062</v>
      </c>
      <c r="C118" s="1183" t="s">
        <v>1000</v>
      </c>
      <c r="D118" s="1200" t="s">
        <v>1019</v>
      </c>
      <c r="E118" s="1145">
        <f>F118+L118</f>
        <v>22481139</v>
      </c>
      <c r="F118" s="1153">
        <f>SUM(G118:K118)</f>
        <v>22481139</v>
      </c>
      <c r="G118" s="1153"/>
      <c r="H118" s="1153"/>
      <c r="I118" s="1153"/>
      <c r="J118" s="1153"/>
      <c r="K118" s="1153">
        <f>21259889+1221250</f>
        <v>22481139</v>
      </c>
      <c r="L118" s="1153"/>
      <c r="M118" s="1145">
        <f t="shared" si="39"/>
        <v>0</v>
      </c>
      <c r="N118" s="1153"/>
      <c r="O118" s="1181"/>
      <c r="P118" s="1181"/>
      <c r="Q118" s="1181"/>
      <c r="R118" s="1181"/>
      <c r="S118" s="1181"/>
      <c r="T118" s="1153"/>
      <c r="U118" s="1192"/>
      <c r="V118" s="1145">
        <f t="shared" si="40"/>
        <v>22481139</v>
      </c>
    </row>
    <row r="119" spans="1:22" ht="32.4" customHeight="1" x14ac:dyDescent="0.25">
      <c r="A119" s="1150" t="s">
        <v>1020</v>
      </c>
      <c r="B119" s="1182">
        <v>5063</v>
      </c>
      <c r="C119" s="1183" t="s">
        <v>1000</v>
      </c>
      <c r="D119" s="1188" t="s">
        <v>1021</v>
      </c>
      <c r="E119" s="1145">
        <f>F119+L119</f>
        <v>2330500</v>
      </c>
      <c r="F119" s="1153">
        <f>SUM(G119:K119)</f>
        <v>2330500</v>
      </c>
      <c r="G119" s="1153">
        <v>1778397</v>
      </c>
      <c r="H119" s="1153"/>
      <c r="I119" s="1153"/>
      <c r="J119" s="1153">
        <v>120415</v>
      </c>
      <c r="K119" s="1153">
        <f>2330500-1778397-120415</f>
        <v>431688</v>
      </c>
      <c r="L119" s="1153"/>
      <c r="M119" s="1145"/>
      <c r="N119" s="1181"/>
      <c r="O119" s="1153"/>
      <c r="P119" s="1181"/>
      <c r="Q119" s="1181"/>
      <c r="R119" s="1181"/>
      <c r="S119" s="1181"/>
      <c r="T119" s="1181"/>
      <c r="U119" s="1192"/>
      <c r="V119" s="1145">
        <f t="shared" si="40"/>
        <v>2330500</v>
      </c>
    </row>
    <row r="120" spans="1:22" ht="32.4" hidden="1" customHeight="1" x14ac:dyDescent="0.25">
      <c r="A120" s="1150" t="s">
        <v>1022</v>
      </c>
      <c r="B120" s="1182">
        <v>7321</v>
      </c>
      <c r="C120" s="1183" t="s">
        <v>1023</v>
      </c>
      <c r="D120" s="1188" t="s">
        <v>425</v>
      </c>
      <c r="E120" s="1145"/>
      <c r="F120" s="1153"/>
      <c r="G120" s="1153"/>
      <c r="H120" s="1153"/>
      <c r="I120" s="1153"/>
      <c r="J120" s="1153"/>
      <c r="K120" s="1153"/>
      <c r="L120" s="1153"/>
      <c r="M120" s="1145">
        <f>T120</f>
        <v>0</v>
      </c>
      <c r="N120" s="1153"/>
      <c r="O120" s="1153"/>
      <c r="P120" s="1153"/>
      <c r="Q120" s="1153"/>
      <c r="R120" s="1153"/>
      <c r="S120" s="1153"/>
      <c r="T120" s="1153"/>
      <c r="U120" s="1192"/>
      <c r="V120" s="1145"/>
    </row>
    <row r="121" spans="1:22" ht="15.6" hidden="1" x14ac:dyDescent="0.25">
      <c r="A121" s="1150" t="s">
        <v>1024</v>
      </c>
      <c r="B121" s="1182"/>
      <c r="C121" s="1183"/>
      <c r="D121" s="1188" t="s">
        <v>399</v>
      </c>
      <c r="E121" s="1145">
        <f>E123</f>
        <v>104009</v>
      </c>
      <c r="F121" s="1153"/>
      <c r="G121" s="1153"/>
      <c r="H121" s="1153"/>
      <c r="I121" s="1153"/>
      <c r="J121" s="1153"/>
      <c r="K121" s="1153"/>
      <c r="L121" s="1153">
        <f>L123</f>
        <v>104009</v>
      </c>
      <c r="M121" s="1145">
        <f>T121</f>
        <v>105991</v>
      </c>
      <c r="N121" s="1181">
        <f>N122</f>
        <v>0</v>
      </c>
      <c r="O121" s="1153"/>
      <c r="P121" s="1181"/>
      <c r="Q121" s="1181"/>
      <c r="R121" s="1181"/>
      <c r="S121" s="1181"/>
      <c r="T121" s="1181">
        <f>T123+T122</f>
        <v>105991</v>
      </c>
      <c r="U121" s="1192"/>
      <c r="V121" s="1145">
        <f t="shared" si="40"/>
        <v>210000</v>
      </c>
    </row>
    <row r="122" spans="1:22" ht="27.6" hidden="1" x14ac:dyDescent="0.25">
      <c r="A122" s="1150" t="s">
        <v>1025</v>
      </c>
      <c r="B122" s="1182">
        <v>6082</v>
      </c>
      <c r="C122" s="1183" t="s">
        <v>1026</v>
      </c>
      <c r="D122" s="1188" t="s">
        <v>1027</v>
      </c>
      <c r="E122" s="1145"/>
      <c r="F122" s="1153"/>
      <c r="G122" s="1153"/>
      <c r="H122" s="1153"/>
      <c r="I122" s="1153"/>
      <c r="J122" s="1153"/>
      <c r="K122" s="1153"/>
      <c r="L122" s="1153"/>
      <c r="M122" s="1145">
        <f>T122</f>
        <v>0</v>
      </c>
      <c r="N122" s="1153">
        <f>T122</f>
        <v>0</v>
      </c>
      <c r="O122" s="1153"/>
      <c r="P122" s="1181"/>
      <c r="Q122" s="1181"/>
      <c r="R122" s="1181"/>
      <c r="S122" s="1181"/>
      <c r="T122" s="1153"/>
      <c r="U122" s="1192"/>
      <c r="V122" s="1145">
        <f t="shared" si="40"/>
        <v>0</v>
      </c>
    </row>
    <row r="123" spans="1:22" ht="61.2" customHeight="1" x14ac:dyDescent="0.25">
      <c r="A123" s="1150" t="s">
        <v>1028</v>
      </c>
      <c r="B123" s="1182">
        <v>6084</v>
      </c>
      <c r="C123" s="1183" t="s">
        <v>1026</v>
      </c>
      <c r="D123" s="1188" t="s">
        <v>1029</v>
      </c>
      <c r="E123" s="1145">
        <f>F123+L123</f>
        <v>104009</v>
      </c>
      <c r="F123" s="1153"/>
      <c r="G123" s="1153"/>
      <c r="H123" s="1153"/>
      <c r="I123" s="1153"/>
      <c r="J123" s="1153"/>
      <c r="K123" s="1153"/>
      <c r="L123" s="1153">
        <v>104009</v>
      </c>
      <c r="M123" s="1145">
        <f>T123</f>
        <v>105991</v>
      </c>
      <c r="N123" s="1181"/>
      <c r="O123" s="1153"/>
      <c r="P123" s="1181"/>
      <c r="Q123" s="1181"/>
      <c r="R123" s="1181"/>
      <c r="S123" s="1181"/>
      <c r="T123" s="1153">
        <v>105991</v>
      </c>
      <c r="U123" s="1192"/>
      <c r="V123" s="1145">
        <f t="shared" si="40"/>
        <v>210000</v>
      </c>
    </row>
    <row r="124" spans="1:22" s="1201" customFormat="1" ht="15.6" hidden="1" x14ac:dyDescent="0.25">
      <c r="A124" s="1150" t="s">
        <v>1022</v>
      </c>
      <c r="B124" s="1169">
        <v>7321</v>
      </c>
      <c r="C124" s="1151" t="s">
        <v>1023</v>
      </c>
      <c r="D124" s="1176" t="s">
        <v>425</v>
      </c>
      <c r="E124" s="1145">
        <f>F124</f>
        <v>0</v>
      </c>
      <c r="F124" s="1153"/>
      <c r="G124" s="1181"/>
      <c r="H124" s="1181"/>
      <c r="I124" s="1181"/>
      <c r="J124" s="1181"/>
      <c r="K124" s="1181"/>
      <c r="L124" s="1181"/>
      <c r="M124" s="1145">
        <f>O124+T124</f>
        <v>0</v>
      </c>
      <c r="N124" s="1153">
        <f>T124</f>
        <v>0</v>
      </c>
      <c r="O124" s="1153"/>
      <c r="P124" s="1153"/>
      <c r="Q124" s="1153"/>
      <c r="R124" s="1153"/>
      <c r="S124" s="1153"/>
      <c r="T124" s="1153"/>
      <c r="U124" s="1154"/>
      <c r="V124" s="1145">
        <f t="shared" si="40"/>
        <v>0</v>
      </c>
    </row>
    <row r="125" spans="1:22" s="1202" customFormat="1" ht="28.95" hidden="1" customHeight="1" x14ac:dyDescent="0.3">
      <c r="A125" s="1159"/>
      <c r="B125" s="1158"/>
      <c r="C125" s="1168"/>
      <c r="D125" s="1160" t="s">
        <v>1030</v>
      </c>
      <c r="E125" s="1161"/>
      <c r="F125" s="1163"/>
      <c r="G125" s="1164"/>
      <c r="H125" s="1164"/>
      <c r="I125" s="1164"/>
      <c r="J125" s="1164"/>
      <c r="K125" s="1164"/>
      <c r="L125" s="1164"/>
      <c r="M125" s="1161">
        <f>O125+T125</f>
        <v>0</v>
      </c>
      <c r="N125" s="1163"/>
      <c r="O125" s="1163"/>
      <c r="P125" s="1164"/>
      <c r="Q125" s="1164"/>
      <c r="R125" s="1164"/>
      <c r="S125" s="1164"/>
      <c r="T125" s="1163"/>
      <c r="U125" s="1165"/>
      <c r="V125" s="1161">
        <f t="shared" si="40"/>
        <v>0</v>
      </c>
    </row>
    <row r="126" spans="1:22" s="1202" customFormat="1" ht="49.2" hidden="1" customHeight="1" x14ac:dyDescent="0.3">
      <c r="A126" s="1159"/>
      <c r="B126" s="1158"/>
      <c r="C126" s="1168"/>
      <c r="D126" s="1203" t="s">
        <v>1031</v>
      </c>
      <c r="E126" s="1161"/>
      <c r="F126" s="1163"/>
      <c r="G126" s="1164"/>
      <c r="H126" s="1164"/>
      <c r="I126" s="1164"/>
      <c r="J126" s="1164"/>
      <c r="K126" s="1164"/>
      <c r="L126" s="1164"/>
      <c r="M126" s="1161">
        <f>O126+T126</f>
        <v>0</v>
      </c>
      <c r="N126" s="1163"/>
      <c r="O126" s="1163"/>
      <c r="P126" s="1164"/>
      <c r="Q126" s="1164"/>
      <c r="R126" s="1164"/>
      <c r="S126" s="1164"/>
      <c r="T126" s="1163"/>
      <c r="U126" s="1165"/>
      <c r="V126" s="1161">
        <f t="shared" ref="V126:V142" si="42">E126+M126</f>
        <v>0</v>
      </c>
    </row>
    <row r="127" spans="1:22" ht="15.6" hidden="1" customHeight="1" x14ac:dyDescent="0.25">
      <c r="A127" s="1150" t="s">
        <v>1032</v>
      </c>
      <c r="B127" s="1169">
        <v>7324</v>
      </c>
      <c r="C127" s="1151" t="s">
        <v>1023</v>
      </c>
      <c r="D127" s="1176" t="s">
        <v>1033</v>
      </c>
      <c r="E127" s="1178"/>
      <c r="F127" s="1153"/>
      <c r="G127" s="1153"/>
      <c r="H127" s="1153"/>
      <c r="I127" s="1153"/>
      <c r="J127" s="1153"/>
      <c r="K127" s="1153"/>
      <c r="L127" s="1153"/>
      <c r="M127" s="1145">
        <f t="shared" ref="M127:M142" si="43">T127</f>
        <v>0</v>
      </c>
      <c r="N127" s="1153">
        <f t="shared" ref="N127:N139" si="44">T127</f>
        <v>0</v>
      </c>
      <c r="O127" s="1153"/>
      <c r="P127" s="1153"/>
      <c r="Q127" s="1153"/>
      <c r="R127" s="1153"/>
      <c r="S127" s="1153"/>
      <c r="T127" s="1153"/>
      <c r="U127" s="1154"/>
      <c r="V127" s="1145">
        <f t="shared" si="42"/>
        <v>0</v>
      </c>
    </row>
    <row r="128" spans="1:22" ht="31.2" hidden="1" customHeight="1" x14ac:dyDescent="0.25">
      <c r="A128" s="1150" t="s">
        <v>1034</v>
      </c>
      <c r="B128" s="1169">
        <v>7325</v>
      </c>
      <c r="C128" s="1151" t="s">
        <v>1023</v>
      </c>
      <c r="D128" s="1176" t="s">
        <v>1035</v>
      </c>
      <c r="E128" s="1178"/>
      <c r="F128" s="1153"/>
      <c r="G128" s="1153"/>
      <c r="H128" s="1153"/>
      <c r="I128" s="1153"/>
      <c r="J128" s="1153"/>
      <c r="K128" s="1153"/>
      <c r="L128" s="1153"/>
      <c r="M128" s="1145">
        <f t="shared" si="43"/>
        <v>0</v>
      </c>
      <c r="N128" s="1153">
        <f>T128</f>
        <v>0</v>
      </c>
      <c r="O128" s="1153"/>
      <c r="P128" s="1153"/>
      <c r="Q128" s="1153"/>
      <c r="R128" s="1153"/>
      <c r="S128" s="1153"/>
      <c r="T128" s="1153"/>
      <c r="U128" s="1154"/>
      <c r="V128" s="1145">
        <f t="shared" si="42"/>
        <v>0</v>
      </c>
    </row>
    <row r="129" spans="1:24" s="1166" customFormat="1" ht="16.2" hidden="1" x14ac:dyDescent="0.25">
      <c r="A129" s="1159"/>
      <c r="B129" s="1158"/>
      <c r="C129" s="1168"/>
      <c r="D129" s="1160" t="s">
        <v>904</v>
      </c>
      <c r="E129" s="1204"/>
      <c r="F129" s="1163"/>
      <c r="G129" s="1163"/>
      <c r="H129" s="1163"/>
      <c r="I129" s="1163"/>
      <c r="J129" s="1163"/>
      <c r="K129" s="1163"/>
      <c r="L129" s="1163"/>
      <c r="M129" s="1161">
        <f t="shared" si="43"/>
        <v>0</v>
      </c>
      <c r="N129" s="1163">
        <f>T129</f>
        <v>0</v>
      </c>
      <c r="O129" s="1163"/>
      <c r="P129" s="1163"/>
      <c r="Q129" s="1163"/>
      <c r="R129" s="1163"/>
      <c r="S129" s="1163"/>
      <c r="T129" s="1163">
        <f>T128</f>
        <v>0</v>
      </c>
      <c r="U129" s="1165"/>
      <c r="V129" s="1161">
        <f t="shared" si="42"/>
        <v>0</v>
      </c>
    </row>
    <row r="130" spans="1:24" ht="15.6" hidden="1" x14ac:dyDescent="0.25">
      <c r="A130" s="1150" t="s">
        <v>1036</v>
      </c>
      <c r="B130" s="1169">
        <v>7330</v>
      </c>
      <c r="C130" s="1151" t="s">
        <v>1023</v>
      </c>
      <c r="D130" s="1176" t="s">
        <v>427</v>
      </c>
      <c r="E130" s="1178"/>
      <c r="F130" s="1153"/>
      <c r="G130" s="1153"/>
      <c r="H130" s="1153"/>
      <c r="I130" s="1153"/>
      <c r="J130" s="1153"/>
      <c r="K130" s="1153"/>
      <c r="L130" s="1153"/>
      <c r="M130" s="1145">
        <f t="shared" si="43"/>
        <v>0</v>
      </c>
      <c r="N130" s="1153">
        <f>T130</f>
        <v>0</v>
      </c>
      <c r="O130" s="1153"/>
      <c r="P130" s="1153"/>
      <c r="Q130" s="1153"/>
      <c r="R130" s="1153"/>
      <c r="S130" s="1153"/>
      <c r="T130" s="1153"/>
      <c r="U130" s="1154"/>
      <c r="V130" s="1145">
        <f t="shared" si="42"/>
        <v>0</v>
      </c>
    </row>
    <row r="131" spans="1:24" ht="41.4" hidden="1" x14ac:dyDescent="0.25">
      <c r="A131" s="1150" t="s">
        <v>1037</v>
      </c>
      <c r="B131" s="1169">
        <v>7361</v>
      </c>
      <c r="C131" s="1151" t="s">
        <v>1038</v>
      </c>
      <c r="D131" s="1176" t="s">
        <v>1039</v>
      </c>
      <c r="E131" s="1178"/>
      <c r="F131" s="1153"/>
      <c r="G131" s="1153"/>
      <c r="H131" s="1153"/>
      <c r="I131" s="1153"/>
      <c r="J131" s="1153"/>
      <c r="K131" s="1153"/>
      <c r="L131" s="1153"/>
      <c r="M131" s="1145">
        <f t="shared" si="43"/>
        <v>0</v>
      </c>
      <c r="N131" s="1153">
        <f>T131</f>
        <v>0</v>
      </c>
      <c r="O131" s="1153"/>
      <c r="P131" s="1153"/>
      <c r="Q131" s="1153"/>
      <c r="R131" s="1153"/>
      <c r="S131" s="1153"/>
      <c r="T131" s="1153"/>
      <c r="U131" s="1154"/>
      <c r="V131" s="1145">
        <f t="shared" si="42"/>
        <v>0</v>
      </c>
    </row>
    <row r="132" spans="1:24" ht="49.95" hidden="1" customHeight="1" x14ac:dyDescent="0.25">
      <c r="A132" s="1150" t="s">
        <v>1040</v>
      </c>
      <c r="B132" s="1169">
        <v>7363</v>
      </c>
      <c r="C132" s="1151" t="s">
        <v>1038</v>
      </c>
      <c r="D132" s="1176" t="s">
        <v>1041</v>
      </c>
      <c r="E132" s="1178"/>
      <c r="F132" s="1153"/>
      <c r="G132" s="1153"/>
      <c r="H132" s="1153"/>
      <c r="I132" s="1153"/>
      <c r="J132" s="1153"/>
      <c r="K132" s="1153"/>
      <c r="L132" s="1153"/>
      <c r="M132" s="1145">
        <f t="shared" si="43"/>
        <v>0</v>
      </c>
      <c r="N132" s="1171">
        <f t="shared" si="44"/>
        <v>0</v>
      </c>
      <c r="O132" s="1171"/>
      <c r="P132" s="1171"/>
      <c r="Q132" s="1171"/>
      <c r="R132" s="1171"/>
      <c r="S132" s="1171"/>
      <c r="T132" s="1171"/>
      <c r="U132" s="1190"/>
      <c r="V132" s="1145">
        <f t="shared" si="42"/>
        <v>0</v>
      </c>
    </row>
    <row r="133" spans="1:24" ht="49.95" hidden="1" customHeight="1" x14ac:dyDescent="0.25">
      <c r="A133" s="1150"/>
      <c r="B133" s="1169"/>
      <c r="C133" s="1151"/>
      <c r="D133" s="1160" t="s">
        <v>1042</v>
      </c>
      <c r="E133" s="1178"/>
      <c r="F133" s="1153"/>
      <c r="G133" s="1153"/>
      <c r="H133" s="1153"/>
      <c r="I133" s="1153"/>
      <c r="J133" s="1153"/>
      <c r="K133" s="1153"/>
      <c r="L133" s="1153"/>
      <c r="M133" s="1145">
        <f t="shared" si="43"/>
        <v>0</v>
      </c>
      <c r="N133" s="1174">
        <f t="shared" si="44"/>
        <v>0</v>
      </c>
      <c r="O133" s="1174"/>
      <c r="P133" s="1174"/>
      <c r="Q133" s="1174"/>
      <c r="R133" s="1174"/>
      <c r="S133" s="1174"/>
      <c r="T133" s="1174"/>
      <c r="U133" s="1205"/>
      <c r="V133" s="1145">
        <f t="shared" si="42"/>
        <v>0</v>
      </c>
    </row>
    <row r="134" spans="1:24" ht="33" hidden="1" customHeight="1" x14ac:dyDescent="0.25">
      <c r="A134" s="1150" t="s">
        <v>1043</v>
      </c>
      <c r="B134" s="1169">
        <v>7622</v>
      </c>
      <c r="C134" s="1151" t="s">
        <v>1044</v>
      </c>
      <c r="D134" s="1176" t="s">
        <v>451</v>
      </c>
      <c r="E134" s="1145">
        <f>F134+L134</f>
        <v>0</v>
      </c>
      <c r="F134" s="1153">
        <f>SUM(G134:K134)</f>
        <v>0</v>
      </c>
      <c r="G134" s="1153"/>
      <c r="H134" s="1153"/>
      <c r="I134" s="1153"/>
      <c r="J134" s="1153"/>
      <c r="K134" s="1153"/>
      <c r="L134" s="1153"/>
      <c r="M134" s="1145">
        <f t="shared" si="43"/>
        <v>0</v>
      </c>
      <c r="N134" s="1171">
        <f t="shared" si="44"/>
        <v>0</v>
      </c>
      <c r="O134" s="1171"/>
      <c r="P134" s="1171"/>
      <c r="Q134" s="1171"/>
      <c r="R134" s="1171"/>
      <c r="S134" s="1171"/>
      <c r="T134" s="1171"/>
      <c r="U134" s="1190"/>
      <c r="V134" s="1145">
        <f t="shared" si="42"/>
        <v>0</v>
      </c>
    </row>
    <row r="135" spans="1:24" ht="16.2" hidden="1" x14ac:dyDescent="0.25">
      <c r="A135" s="1150"/>
      <c r="B135" s="1169"/>
      <c r="C135" s="1151"/>
      <c r="D135" s="1186" t="s">
        <v>904</v>
      </c>
      <c r="E135" s="1161">
        <f t="shared" ref="E135:K135" si="45">E134</f>
        <v>0</v>
      </c>
      <c r="F135" s="1163">
        <f t="shared" si="45"/>
        <v>0</v>
      </c>
      <c r="G135" s="1163">
        <f t="shared" si="45"/>
        <v>0</v>
      </c>
      <c r="H135" s="1163">
        <f t="shared" si="45"/>
        <v>0</v>
      </c>
      <c r="I135" s="1163">
        <f t="shared" si="45"/>
        <v>0</v>
      </c>
      <c r="J135" s="1163">
        <f t="shared" si="45"/>
        <v>0</v>
      </c>
      <c r="K135" s="1163">
        <f t="shared" si="45"/>
        <v>0</v>
      </c>
      <c r="L135" s="1153"/>
      <c r="M135" s="1161">
        <f t="shared" si="43"/>
        <v>0</v>
      </c>
      <c r="N135" s="1174">
        <f t="shared" si="44"/>
        <v>0</v>
      </c>
      <c r="O135" s="1174"/>
      <c r="P135" s="1174"/>
      <c r="Q135" s="1174"/>
      <c r="R135" s="1174"/>
      <c r="S135" s="1174"/>
      <c r="T135" s="1174"/>
      <c r="U135" s="1205"/>
      <c r="V135" s="1161">
        <f t="shared" si="42"/>
        <v>0</v>
      </c>
    </row>
    <row r="136" spans="1:24" ht="30" customHeight="1" x14ac:dyDescent="0.25">
      <c r="A136" s="1150" t="s">
        <v>1045</v>
      </c>
      <c r="B136" s="1169">
        <v>7530</v>
      </c>
      <c r="C136" s="1151" t="s">
        <v>1046</v>
      </c>
      <c r="D136" s="1152" t="s">
        <v>1047</v>
      </c>
      <c r="E136" s="1145">
        <f>F136+L136</f>
        <v>3062358</v>
      </c>
      <c r="F136" s="1153">
        <f>SUM(G136:K136)</f>
        <v>0</v>
      </c>
      <c r="G136" s="1153"/>
      <c r="H136" s="1153"/>
      <c r="I136" s="1153"/>
      <c r="J136" s="1153"/>
      <c r="K136" s="1153"/>
      <c r="L136" s="1153">
        <v>3062358</v>
      </c>
      <c r="M136" s="1145"/>
      <c r="N136" s="1153">
        <f t="shared" si="44"/>
        <v>0</v>
      </c>
      <c r="O136" s="1181"/>
      <c r="P136" s="1181"/>
      <c r="Q136" s="1181"/>
      <c r="R136" s="1181"/>
      <c r="S136" s="1181"/>
      <c r="T136" s="1172"/>
      <c r="U136" s="1172"/>
      <c r="V136" s="1145">
        <f>M136+E136</f>
        <v>3062358</v>
      </c>
    </row>
    <row r="137" spans="1:24" ht="28.95" hidden="1" customHeight="1" x14ac:dyDescent="0.25">
      <c r="A137" s="1150" t="s">
        <v>1048</v>
      </c>
      <c r="B137" s="1169">
        <v>7670</v>
      </c>
      <c r="C137" s="1151" t="s">
        <v>1038</v>
      </c>
      <c r="D137" s="1176" t="s">
        <v>1049</v>
      </c>
      <c r="E137" s="1178"/>
      <c r="F137" s="1153"/>
      <c r="G137" s="1153"/>
      <c r="H137" s="1153"/>
      <c r="I137" s="1153"/>
      <c r="J137" s="1153"/>
      <c r="K137" s="1153"/>
      <c r="L137" s="1153"/>
      <c r="M137" s="1145">
        <f t="shared" si="43"/>
        <v>0</v>
      </c>
      <c r="N137" s="1153">
        <f t="shared" si="44"/>
        <v>0</v>
      </c>
      <c r="O137" s="1153"/>
      <c r="P137" s="1153"/>
      <c r="Q137" s="1153"/>
      <c r="R137" s="1153"/>
      <c r="S137" s="1153"/>
      <c r="T137" s="1153"/>
      <c r="U137" s="1154"/>
      <c r="V137" s="1145">
        <f t="shared" si="42"/>
        <v>0</v>
      </c>
    </row>
    <row r="138" spans="1:24" ht="16.2" hidden="1" x14ac:dyDescent="0.25">
      <c r="A138" s="1150"/>
      <c r="B138" s="1169"/>
      <c r="C138" s="1151"/>
      <c r="D138" s="1203" t="s">
        <v>904</v>
      </c>
      <c r="E138" s="1178"/>
      <c r="F138" s="1153"/>
      <c r="G138" s="1153"/>
      <c r="H138" s="1153"/>
      <c r="I138" s="1153"/>
      <c r="J138" s="1153"/>
      <c r="K138" s="1153"/>
      <c r="L138" s="1153"/>
      <c r="M138" s="1161">
        <f t="shared" si="43"/>
        <v>0</v>
      </c>
      <c r="N138" s="1163">
        <f t="shared" si="44"/>
        <v>0</v>
      </c>
      <c r="O138" s="1163"/>
      <c r="P138" s="1163"/>
      <c r="Q138" s="1163"/>
      <c r="R138" s="1163"/>
      <c r="S138" s="1163"/>
      <c r="T138" s="1163"/>
      <c r="U138" s="1165"/>
      <c r="V138" s="1161">
        <f t="shared" si="42"/>
        <v>0</v>
      </c>
    </row>
    <row r="139" spans="1:24" ht="27.6" hidden="1" x14ac:dyDescent="0.25">
      <c r="A139" s="1150" t="s">
        <v>1050</v>
      </c>
      <c r="B139" s="1169">
        <v>7380</v>
      </c>
      <c r="C139" s="1151" t="s">
        <v>1038</v>
      </c>
      <c r="D139" s="1176" t="s">
        <v>433</v>
      </c>
      <c r="E139" s="1178"/>
      <c r="F139" s="1153"/>
      <c r="G139" s="1153"/>
      <c r="H139" s="1153"/>
      <c r="I139" s="1153"/>
      <c r="J139" s="1153"/>
      <c r="K139" s="1153"/>
      <c r="L139" s="1153"/>
      <c r="M139" s="1145">
        <f t="shared" si="43"/>
        <v>0</v>
      </c>
      <c r="N139" s="1153">
        <f t="shared" si="44"/>
        <v>0</v>
      </c>
      <c r="O139" s="1153"/>
      <c r="P139" s="1153"/>
      <c r="Q139" s="1153"/>
      <c r="R139" s="1153"/>
      <c r="S139" s="1153"/>
      <c r="T139" s="1153"/>
      <c r="U139" s="1154"/>
      <c r="V139" s="1145">
        <f t="shared" si="42"/>
        <v>0</v>
      </c>
    </row>
    <row r="140" spans="1:24" ht="62.4" hidden="1" customHeight="1" x14ac:dyDescent="0.25">
      <c r="A140" s="1150"/>
      <c r="B140" s="1169"/>
      <c r="C140" s="1151"/>
      <c r="D140" s="1160" t="s">
        <v>1051</v>
      </c>
      <c r="E140" s="1178"/>
      <c r="F140" s="1153"/>
      <c r="G140" s="1153"/>
      <c r="H140" s="1153"/>
      <c r="I140" s="1153"/>
      <c r="J140" s="1153"/>
      <c r="K140" s="1153"/>
      <c r="L140" s="1153"/>
      <c r="M140" s="1161"/>
      <c r="N140" s="1163"/>
      <c r="O140" s="1163"/>
      <c r="P140" s="1163"/>
      <c r="Q140" s="1163"/>
      <c r="R140" s="1163"/>
      <c r="S140" s="1163"/>
      <c r="T140" s="1163"/>
      <c r="U140" s="1165">
        <f>U139</f>
        <v>0</v>
      </c>
      <c r="V140" s="1161">
        <f t="shared" si="42"/>
        <v>0</v>
      </c>
    </row>
    <row r="141" spans="1:24" ht="15.6" hidden="1" x14ac:dyDescent="0.25">
      <c r="A141" s="1150" t="s">
        <v>1052</v>
      </c>
      <c r="B141" s="1169">
        <v>8420</v>
      </c>
      <c r="C141" s="1151" t="s">
        <v>1053</v>
      </c>
      <c r="D141" s="1176" t="s">
        <v>1054</v>
      </c>
      <c r="E141" s="1145">
        <f>F141</f>
        <v>0</v>
      </c>
      <c r="F141" s="1153">
        <f>SUM(G141:K141)</f>
        <v>0</v>
      </c>
      <c r="G141" s="1153"/>
      <c r="H141" s="1153"/>
      <c r="I141" s="1153"/>
      <c r="J141" s="1153"/>
      <c r="K141" s="1153"/>
      <c r="L141" s="1153"/>
      <c r="M141" s="1145">
        <f>O141+T141</f>
        <v>0</v>
      </c>
      <c r="N141" s="1153">
        <f>T141</f>
        <v>0</v>
      </c>
      <c r="O141" s="1153"/>
      <c r="P141" s="1153"/>
      <c r="Q141" s="1153"/>
      <c r="R141" s="1153"/>
      <c r="S141" s="1153"/>
      <c r="T141" s="1153"/>
      <c r="U141" s="1154"/>
      <c r="V141" s="1145">
        <f>M141+E141</f>
        <v>0</v>
      </c>
    </row>
    <row r="142" spans="1:24" ht="15.6" hidden="1" x14ac:dyDescent="0.25">
      <c r="A142" s="1150" t="s">
        <v>1055</v>
      </c>
      <c r="B142" s="1169">
        <v>9770</v>
      </c>
      <c r="C142" s="1151" t="s">
        <v>275</v>
      </c>
      <c r="D142" s="1176" t="s">
        <v>236</v>
      </c>
      <c r="E142" s="1145">
        <f>F142</f>
        <v>0</v>
      </c>
      <c r="F142" s="1153">
        <f>SUM(G142:K142)</f>
        <v>0</v>
      </c>
      <c r="G142" s="1153"/>
      <c r="H142" s="1153"/>
      <c r="I142" s="1153"/>
      <c r="J142" s="1153"/>
      <c r="K142" s="1153"/>
      <c r="L142" s="1153"/>
      <c r="M142" s="1145">
        <f t="shared" si="43"/>
        <v>0</v>
      </c>
      <c r="N142" s="1153">
        <f>T142</f>
        <v>0</v>
      </c>
      <c r="O142" s="1153"/>
      <c r="P142" s="1153"/>
      <c r="Q142" s="1153"/>
      <c r="R142" s="1153"/>
      <c r="S142" s="1153"/>
      <c r="T142" s="1153"/>
      <c r="U142" s="1154"/>
      <c r="V142" s="1145">
        <f t="shared" si="42"/>
        <v>0</v>
      </c>
    </row>
    <row r="143" spans="1:24" s="1147" customFormat="1" ht="33.6" customHeight="1" x14ac:dyDescent="0.25">
      <c r="A143" s="1142" t="s">
        <v>1056</v>
      </c>
      <c r="B143" s="1143"/>
      <c r="C143" s="1142"/>
      <c r="D143" s="1144" t="s">
        <v>1057</v>
      </c>
      <c r="E143" s="1145">
        <f t="shared" ref="E143:U143" si="46">E144</f>
        <v>221388286</v>
      </c>
      <c r="F143" s="1145">
        <f t="shared" si="46"/>
        <v>221388286</v>
      </c>
      <c r="G143" s="1145">
        <f t="shared" si="46"/>
        <v>9270446</v>
      </c>
      <c r="H143" s="1145">
        <f t="shared" si="46"/>
        <v>0</v>
      </c>
      <c r="I143" s="1145">
        <f t="shared" si="46"/>
        <v>1651082</v>
      </c>
      <c r="J143" s="1145">
        <f t="shared" si="46"/>
        <v>0</v>
      </c>
      <c r="K143" s="1145">
        <f t="shared" si="46"/>
        <v>210466758</v>
      </c>
      <c r="L143" s="1145">
        <f t="shared" si="46"/>
        <v>0</v>
      </c>
      <c r="M143" s="1145">
        <f t="shared" si="46"/>
        <v>0</v>
      </c>
      <c r="N143" s="1145">
        <f t="shared" si="46"/>
        <v>0</v>
      </c>
      <c r="O143" s="1145">
        <f t="shared" si="46"/>
        <v>0</v>
      </c>
      <c r="P143" s="1145">
        <f t="shared" si="46"/>
        <v>0</v>
      </c>
      <c r="Q143" s="1145">
        <f t="shared" si="46"/>
        <v>0</v>
      </c>
      <c r="R143" s="1145">
        <f t="shared" si="46"/>
        <v>0</v>
      </c>
      <c r="S143" s="1145">
        <f t="shared" si="46"/>
        <v>0</v>
      </c>
      <c r="T143" s="1145">
        <f t="shared" si="46"/>
        <v>0</v>
      </c>
      <c r="U143" s="1146">
        <f t="shared" si="46"/>
        <v>0</v>
      </c>
      <c r="V143" s="1145">
        <f t="shared" ref="V143:V189" si="47">M143+E143</f>
        <v>221388286</v>
      </c>
      <c r="X143" s="1149"/>
    </row>
    <row r="144" spans="1:24" s="1147" customFormat="1" ht="33.6" customHeight="1" x14ac:dyDescent="0.25">
      <c r="A144" s="1142" t="s">
        <v>1058</v>
      </c>
      <c r="B144" s="1143"/>
      <c r="C144" s="1142"/>
      <c r="D144" s="1144" t="s">
        <v>1057</v>
      </c>
      <c r="E144" s="1145">
        <f>E145+E146+E194+E186+E196</f>
        <v>221388286</v>
      </c>
      <c r="F144" s="1145">
        <f>F145+F146+F194+F196+F186</f>
        <v>221388286</v>
      </c>
      <c r="G144" s="1145">
        <f>G145+G146+G194</f>
        <v>9270446</v>
      </c>
      <c r="H144" s="1145">
        <f>H145+H146+H194</f>
        <v>0</v>
      </c>
      <c r="I144" s="1145">
        <f>I145+I146+I194</f>
        <v>1651082</v>
      </c>
      <c r="J144" s="1145">
        <f>J145+J146+J194</f>
        <v>0</v>
      </c>
      <c r="K144" s="1145">
        <f>K145+K146+K194+K196+K186</f>
        <v>210466758</v>
      </c>
      <c r="L144" s="1145">
        <f>L145+L146+L194</f>
        <v>0</v>
      </c>
      <c r="M144" s="1145">
        <f>M145+M146+M194+M188+M196+M192+M190</f>
        <v>0</v>
      </c>
      <c r="N144" s="1145">
        <f>N145+N146+N194+N188+N196+N192+N190</f>
        <v>0</v>
      </c>
      <c r="O144" s="1145">
        <f>O145+O146+O194+O188+O196+O192</f>
        <v>0</v>
      </c>
      <c r="P144" s="1145">
        <f>P145+P146+P194+P188+P196+P192</f>
        <v>0</v>
      </c>
      <c r="Q144" s="1145">
        <f>Q145+Q146+Q194+Q188+Q196+Q192</f>
        <v>0</v>
      </c>
      <c r="R144" s="1145">
        <f>R145+R146+R194+R188+R196+R192</f>
        <v>0</v>
      </c>
      <c r="S144" s="1145">
        <f>S145+S146+S194+S188+S196+S192</f>
        <v>0</v>
      </c>
      <c r="T144" s="1145">
        <f>T145+T146+T194+T188+T196+T192+T190</f>
        <v>0</v>
      </c>
      <c r="U144" s="1146">
        <f>U145+U146+U194+U188+U196+U192+U190</f>
        <v>0</v>
      </c>
      <c r="V144" s="1145">
        <f>M144+E144</f>
        <v>221388286</v>
      </c>
    </row>
    <row r="145" spans="1:22" ht="49.2" customHeight="1" x14ac:dyDescent="0.25">
      <c r="A145" s="1150" t="s">
        <v>1059</v>
      </c>
      <c r="B145" s="1151" t="s">
        <v>273</v>
      </c>
      <c r="C145" s="1151" t="s">
        <v>885</v>
      </c>
      <c r="D145" s="1152" t="s">
        <v>886</v>
      </c>
      <c r="E145" s="1145">
        <f t="shared" ref="E145:E187" si="48">F145</f>
        <v>10804252</v>
      </c>
      <c r="F145" s="1153">
        <f>SUM(G145:L145)</f>
        <v>10804252</v>
      </c>
      <c r="G145" s="1153">
        <v>9270446</v>
      </c>
      <c r="H145" s="1153"/>
      <c r="I145" s="1153"/>
      <c r="J145" s="1153"/>
      <c r="K145" s="1153">
        <f>10804252-9270446</f>
        <v>1533806</v>
      </c>
      <c r="L145" s="1181"/>
      <c r="M145" s="1145">
        <f>SUM(O145,T145)</f>
        <v>0</v>
      </c>
      <c r="N145" s="1153"/>
      <c r="O145" s="1181"/>
      <c r="P145" s="1181"/>
      <c r="Q145" s="1181"/>
      <c r="R145" s="1181"/>
      <c r="S145" s="1181"/>
      <c r="T145" s="1153"/>
      <c r="U145" s="1154"/>
      <c r="V145" s="1145">
        <f t="shared" si="47"/>
        <v>10804252</v>
      </c>
    </row>
    <row r="146" spans="1:22" ht="15.6" x14ac:dyDescent="0.25">
      <c r="A146" s="1150" t="s">
        <v>887</v>
      </c>
      <c r="B146" s="1155">
        <v>2000</v>
      </c>
      <c r="C146" s="1150" t="s">
        <v>887</v>
      </c>
      <c r="D146" s="1156" t="s">
        <v>1060</v>
      </c>
      <c r="E146" s="1145">
        <f>F146</f>
        <v>210584034</v>
      </c>
      <c r="F146" s="1181">
        <f>SUM(G146:K146)</f>
        <v>210584034</v>
      </c>
      <c r="G146" s="1181">
        <f t="shared" ref="G146:L146" si="49">G151+G159+G163+G166+G169+G172+G181</f>
        <v>0</v>
      </c>
      <c r="H146" s="1181">
        <f t="shared" si="49"/>
        <v>0</v>
      </c>
      <c r="I146" s="1181">
        <f t="shared" si="49"/>
        <v>1651082</v>
      </c>
      <c r="J146" s="1181">
        <f t="shared" si="49"/>
        <v>0</v>
      </c>
      <c r="K146" s="1181">
        <f t="shared" si="49"/>
        <v>208932952</v>
      </c>
      <c r="L146" s="1181">
        <f t="shared" si="49"/>
        <v>0</v>
      </c>
      <c r="M146" s="1145">
        <f>SUM(O146,T146)</f>
        <v>0</v>
      </c>
      <c r="N146" s="1181">
        <f>N151+N159+N163+N166+N178+N169</f>
        <v>0</v>
      </c>
      <c r="O146" s="1181">
        <f>O151+O159+O163+O166+O178+O169</f>
        <v>0</v>
      </c>
      <c r="P146" s="1181">
        <f>P151+P159+P163+P166+P178</f>
        <v>0</v>
      </c>
      <c r="Q146" s="1181">
        <f>Q151+Q159+Q163+Q166+Q178</f>
        <v>0</v>
      </c>
      <c r="R146" s="1181">
        <f>R151+R159+R163+R166+R178</f>
        <v>0</v>
      </c>
      <c r="S146" s="1181">
        <f>S151+S159+S163+S166+S178</f>
        <v>0</v>
      </c>
      <c r="T146" s="1181">
        <f>T151+T159+T163+T166+T178+T169</f>
        <v>0</v>
      </c>
      <c r="U146" s="1192">
        <f>U151+U159+U163+U166+U178+U169</f>
        <v>0</v>
      </c>
      <c r="V146" s="1145">
        <f t="shared" si="47"/>
        <v>210584034</v>
      </c>
    </row>
    <row r="147" spans="1:22" s="1166" customFormat="1" ht="28.8" hidden="1" x14ac:dyDescent="0.25">
      <c r="A147" s="1159"/>
      <c r="B147" s="1158"/>
      <c r="C147" s="1159"/>
      <c r="D147" s="1160" t="s">
        <v>1061</v>
      </c>
      <c r="E147" s="1161">
        <f t="shared" si="48"/>
        <v>0</v>
      </c>
      <c r="F147" s="1163">
        <f t="shared" ref="F147:F187" si="50">SUM(G147:K147)</f>
        <v>0</v>
      </c>
      <c r="G147" s="1163">
        <f>G153+G161+G165+G168+G182</f>
        <v>0</v>
      </c>
      <c r="H147" s="1163">
        <f>H153+H161+H165+H168+H182</f>
        <v>0</v>
      </c>
      <c r="I147" s="1163">
        <f>I153+I161+I165+I168+I182</f>
        <v>0</v>
      </c>
      <c r="J147" s="1163">
        <f>J153+J161+J165+J168+J182</f>
        <v>0</v>
      </c>
      <c r="K147" s="1163">
        <f>K153+K161+K165+K168+K180+K182</f>
        <v>0</v>
      </c>
      <c r="L147" s="1164"/>
      <c r="M147" s="1161"/>
      <c r="N147" s="1164"/>
      <c r="O147" s="1164"/>
      <c r="P147" s="1164"/>
      <c r="Q147" s="1164"/>
      <c r="R147" s="1164"/>
      <c r="S147" s="1164"/>
      <c r="T147" s="1164"/>
      <c r="U147" s="1206"/>
      <c r="V147" s="1161">
        <f t="shared" si="47"/>
        <v>0</v>
      </c>
    </row>
    <row r="148" spans="1:22" s="1166" customFormat="1" ht="60" hidden="1" customHeight="1" x14ac:dyDescent="0.25">
      <c r="A148" s="1159"/>
      <c r="B148" s="1158"/>
      <c r="C148" s="1159"/>
      <c r="D148" s="1160" t="s">
        <v>1062</v>
      </c>
      <c r="E148" s="1161">
        <f t="shared" si="48"/>
        <v>0</v>
      </c>
      <c r="F148" s="1163">
        <f>F173</f>
        <v>0</v>
      </c>
      <c r="G148" s="1163">
        <f t="shared" ref="G148:L149" si="51">G173</f>
        <v>0</v>
      </c>
      <c r="H148" s="1163">
        <f t="shared" si="51"/>
        <v>0</v>
      </c>
      <c r="I148" s="1163">
        <f t="shared" si="51"/>
        <v>0</v>
      </c>
      <c r="J148" s="1163">
        <f t="shared" si="51"/>
        <v>0</v>
      </c>
      <c r="K148" s="1163">
        <f t="shared" si="51"/>
        <v>0</v>
      </c>
      <c r="L148" s="1163">
        <f t="shared" si="51"/>
        <v>0</v>
      </c>
      <c r="M148" s="1161"/>
      <c r="N148" s="1164"/>
      <c r="O148" s="1164"/>
      <c r="P148" s="1164"/>
      <c r="Q148" s="1164"/>
      <c r="R148" s="1164"/>
      <c r="S148" s="1164"/>
      <c r="T148" s="1164"/>
      <c r="U148" s="1206"/>
      <c r="V148" s="1161">
        <f t="shared" si="47"/>
        <v>0</v>
      </c>
    </row>
    <row r="149" spans="1:22" s="1166" customFormat="1" ht="60.6" hidden="1" customHeight="1" x14ac:dyDescent="0.25">
      <c r="A149" s="1159"/>
      <c r="B149" s="1158"/>
      <c r="C149" s="1159"/>
      <c r="D149" s="1160" t="s">
        <v>1063</v>
      </c>
      <c r="E149" s="1145">
        <f t="shared" si="48"/>
        <v>0</v>
      </c>
      <c r="F149" s="1163">
        <f>SUM(G149:K149)</f>
        <v>0</v>
      </c>
      <c r="G149" s="1163">
        <f t="shared" si="51"/>
        <v>0</v>
      </c>
      <c r="H149" s="1163">
        <f t="shared" si="51"/>
        <v>0</v>
      </c>
      <c r="I149" s="1163">
        <f t="shared" si="51"/>
        <v>0</v>
      </c>
      <c r="J149" s="1163">
        <f t="shared" si="51"/>
        <v>0</v>
      </c>
      <c r="K149" s="1163">
        <f t="shared" si="51"/>
        <v>0</v>
      </c>
      <c r="L149" s="1163">
        <f t="shared" si="51"/>
        <v>0</v>
      </c>
      <c r="M149" s="1161"/>
      <c r="N149" s="1164"/>
      <c r="O149" s="1164"/>
      <c r="P149" s="1164"/>
      <c r="Q149" s="1164"/>
      <c r="R149" s="1164"/>
      <c r="S149" s="1164"/>
      <c r="T149" s="1164"/>
      <c r="U149" s="1206"/>
      <c r="V149" s="1161">
        <f t="shared" si="47"/>
        <v>0</v>
      </c>
    </row>
    <row r="150" spans="1:22" s="1166" customFormat="1" ht="31.95" hidden="1" customHeight="1" x14ac:dyDescent="0.25">
      <c r="A150" s="1159"/>
      <c r="B150" s="1158"/>
      <c r="C150" s="1159"/>
      <c r="D150" s="1160" t="s">
        <v>904</v>
      </c>
      <c r="E150" s="1145">
        <f t="shared" si="48"/>
        <v>0</v>
      </c>
      <c r="F150" s="1163">
        <f>F183</f>
        <v>0</v>
      </c>
      <c r="G150" s="1163">
        <f t="shared" ref="G150:L150" si="52">G183</f>
        <v>0</v>
      </c>
      <c r="H150" s="1163">
        <f t="shared" si="52"/>
        <v>0</v>
      </c>
      <c r="I150" s="1163">
        <f t="shared" si="52"/>
        <v>0</v>
      </c>
      <c r="J150" s="1163">
        <f t="shared" si="52"/>
        <v>0</v>
      </c>
      <c r="K150" s="1163">
        <f t="shared" si="52"/>
        <v>0</v>
      </c>
      <c r="L150" s="1163">
        <f t="shared" si="52"/>
        <v>0</v>
      </c>
      <c r="M150" s="1161"/>
      <c r="N150" s="1164"/>
      <c r="O150" s="1164"/>
      <c r="P150" s="1164"/>
      <c r="Q150" s="1164"/>
      <c r="R150" s="1164"/>
      <c r="S150" s="1164"/>
      <c r="T150" s="1164"/>
      <c r="U150" s="1206"/>
      <c r="V150" s="1161">
        <f t="shared" si="47"/>
        <v>0</v>
      </c>
    </row>
    <row r="151" spans="1:22" ht="33" customHeight="1" x14ac:dyDescent="0.25">
      <c r="A151" s="1150" t="s">
        <v>1064</v>
      </c>
      <c r="B151" s="1169">
        <v>2010</v>
      </c>
      <c r="C151" s="1151" t="s">
        <v>1065</v>
      </c>
      <c r="D151" s="1197" t="s">
        <v>1066</v>
      </c>
      <c r="E151" s="1145">
        <f>F151</f>
        <v>84054036</v>
      </c>
      <c r="F151" s="1153">
        <f>SUM(G151:K151)</f>
        <v>84054036</v>
      </c>
      <c r="G151" s="1163"/>
      <c r="H151" s="1153"/>
      <c r="I151" s="1153"/>
      <c r="J151" s="1153"/>
      <c r="K151" s="1153">
        <v>84054036</v>
      </c>
      <c r="L151" s="1153"/>
      <c r="M151" s="1145">
        <f>SUM(O151,T151)</f>
        <v>0</v>
      </c>
      <c r="N151" s="1172">
        <f>T151</f>
        <v>0</v>
      </c>
      <c r="O151" s="1153"/>
      <c r="P151" s="1153"/>
      <c r="Q151" s="1153"/>
      <c r="R151" s="1153"/>
      <c r="S151" s="1153"/>
      <c r="T151" s="1172"/>
      <c r="U151" s="1180"/>
      <c r="V151" s="1145">
        <f t="shared" si="47"/>
        <v>84054036</v>
      </c>
    </row>
    <row r="152" spans="1:22" ht="54.6" hidden="1" customHeight="1" x14ac:dyDescent="0.25">
      <c r="A152" s="1150"/>
      <c r="B152" s="1169"/>
      <c r="C152" s="1151"/>
      <c r="D152" s="1197" t="s">
        <v>1067</v>
      </c>
      <c r="E152" s="1145">
        <f>F152</f>
        <v>0</v>
      </c>
      <c r="F152" s="1153">
        <f>SUM(G152:K152)</f>
        <v>0</v>
      </c>
      <c r="G152" s="1163"/>
      <c r="H152" s="1153"/>
      <c r="I152" s="1153"/>
      <c r="J152" s="1153"/>
      <c r="K152" s="1153"/>
      <c r="L152" s="1153"/>
      <c r="M152" s="1145"/>
      <c r="N152" s="1172"/>
      <c r="O152" s="1153"/>
      <c r="P152" s="1153"/>
      <c r="Q152" s="1153"/>
      <c r="R152" s="1153"/>
      <c r="S152" s="1153"/>
      <c r="T152" s="1172"/>
      <c r="U152" s="1180"/>
      <c r="V152" s="1145">
        <f t="shared" si="47"/>
        <v>0</v>
      </c>
    </row>
    <row r="153" spans="1:22" s="1166" customFormat="1" ht="32.25" hidden="1" customHeight="1" x14ac:dyDescent="0.25">
      <c r="A153" s="1150"/>
      <c r="B153" s="1158"/>
      <c r="C153" s="1168"/>
      <c r="D153" s="1160" t="s">
        <v>1068</v>
      </c>
      <c r="E153" s="1145">
        <f>F153</f>
        <v>0</v>
      </c>
      <c r="F153" s="1163">
        <f>SUM(G153:K153)</f>
        <v>0</v>
      </c>
      <c r="G153" s="1163"/>
      <c r="H153" s="1163"/>
      <c r="I153" s="1163"/>
      <c r="J153" s="1163"/>
      <c r="K153" s="1163"/>
      <c r="L153" s="1163"/>
      <c r="M153" s="1145">
        <f>SUM(O153,T153)</f>
        <v>0</v>
      </c>
      <c r="N153" s="1163"/>
      <c r="O153" s="1163"/>
      <c r="P153" s="1163"/>
      <c r="Q153" s="1163"/>
      <c r="R153" s="1163"/>
      <c r="S153" s="1163"/>
      <c r="T153" s="1162"/>
      <c r="U153" s="1207"/>
      <c r="V153" s="1161">
        <f t="shared" si="47"/>
        <v>0</v>
      </c>
    </row>
    <row r="154" spans="1:22" s="1166" customFormat="1" ht="92.4" hidden="1" customHeight="1" x14ac:dyDescent="0.25">
      <c r="A154" s="1159"/>
      <c r="B154" s="1158"/>
      <c r="C154" s="1168"/>
      <c r="D154" s="1160" t="s">
        <v>907</v>
      </c>
      <c r="E154" s="1145">
        <f t="shared" si="48"/>
        <v>0</v>
      </c>
      <c r="F154" s="1163">
        <f t="shared" si="50"/>
        <v>0</v>
      </c>
      <c r="G154" s="1163"/>
      <c r="H154" s="1163"/>
      <c r="I154" s="1163"/>
      <c r="J154" s="1163"/>
      <c r="K154" s="1163"/>
      <c r="L154" s="1163"/>
      <c r="M154" s="1161"/>
      <c r="N154" s="1162"/>
      <c r="O154" s="1163"/>
      <c r="P154" s="1163"/>
      <c r="Q154" s="1163"/>
      <c r="R154" s="1163"/>
      <c r="S154" s="1163"/>
      <c r="T154" s="1162"/>
      <c r="U154" s="1167"/>
      <c r="V154" s="1161">
        <f t="shared" si="47"/>
        <v>0</v>
      </c>
    </row>
    <row r="155" spans="1:22" s="1166" customFormat="1" ht="69" hidden="1" customHeight="1" x14ac:dyDescent="0.25">
      <c r="A155" s="1159"/>
      <c r="B155" s="1158"/>
      <c r="C155" s="1168"/>
      <c r="D155" s="1160" t="s">
        <v>1063</v>
      </c>
      <c r="E155" s="1145">
        <f t="shared" si="48"/>
        <v>0</v>
      </c>
      <c r="F155" s="1163">
        <f t="shared" si="50"/>
        <v>0</v>
      </c>
      <c r="G155" s="1163"/>
      <c r="H155" s="1163"/>
      <c r="I155" s="1163"/>
      <c r="J155" s="1163"/>
      <c r="K155" s="1163"/>
      <c r="L155" s="1163"/>
      <c r="M155" s="1161"/>
      <c r="N155" s="1162"/>
      <c r="O155" s="1163"/>
      <c r="P155" s="1163"/>
      <c r="Q155" s="1163"/>
      <c r="R155" s="1163"/>
      <c r="S155" s="1163"/>
      <c r="T155" s="1162"/>
      <c r="U155" s="1167"/>
      <c r="V155" s="1161">
        <f t="shared" si="47"/>
        <v>0</v>
      </c>
    </row>
    <row r="156" spans="1:22" s="1166" customFormat="1" ht="117" hidden="1" customHeight="1" x14ac:dyDescent="0.25">
      <c r="A156" s="1159"/>
      <c r="B156" s="1158"/>
      <c r="C156" s="1168"/>
      <c r="D156" s="1160" t="s">
        <v>1069</v>
      </c>
      <c r="E156" s="1145">
        <f t="shared" si="48"/>
        <v>0</v>
      </c>
      <c r="F156" s="1163">
        <f t="shared" si="50"/>
        <v>0</v>
      </c>
      <c r="G156" s="1163"/>
      <c r="H156" s="1163"/>
      <c r="I156" s="1163"/>
      <c r="J156" s="1163"/>
      <c r="K156" s="1163"/>
      <c r="L156" s="1163"/>
      <c r="M156" s="1161"/>
      <c r="N156" s="1162"/>
      <c r="O156" s="1163"/>
      <c r="P156" s="1163"/>
      <c r="Q156" s="1163"/>
      <c r="R156" s="1163"/>
      <c r="S156" s="1163"/>
      <c r="T156" s="1162"/>
      <c r="U156" s="1167"/>
      <c r="V156" s="1161">
        <f t="shared" si="47"/>
        <v>0</v>
      </c>
    </row>
    <row r="157" spans="1:22" s="1166" customFormat="1" ht="45" hidden="1" customHeight="1" x14ac:dyDescent="0.25">
      <c r="A157" s="1159"/>
      <c r="B157" s="1158"/>
      <c r="C157" s="1168"/>
      <c r="D157" s="1160" t="s">
        <v>1070</v>
      </c>
      <c r="E157" s="1145">
        <f t="shared" si="48"/>
        <v>0</v>
      </c>
      <c r="F157" s="1163">
        <f t="shared" si="50"/>
        <v>0</v>
      </c>
      <c r="G157" s="1163"/>
      <c r="H157" s="1163"/>
      <c r="I157" s="1163"/>
      <c r="J157" s="1163"/>
      <c r="K157" s="1163"/>
      <c r="L157" s="1163"/>
      <c r="M157" s="1161"/>
      <c r="N157" s="1162"/>
      <c r="O157" s="1163"/>
      <c r="P157" s="1163"/>
      <c r="Q157" s="1163"/>
      <c r="R157" s="1163"/>
      <c r="S157" s="1163"/>
      <c r="T157" s="1162"/>
      <c r="U157" s="1167"/>
      <c r="V157" s="1161">
        <f t="shared" si="47"/>
        <v>0</v>
      </c>
    </row>
    <row r="158" spans="1:22" s="1166" customFormat="1" ht="16.2" hidden="1" x14ac:dyDescent="0.25">
      <c r="A158" s="1159"/>
      <c r="B158" s="1158"/>
      <c r="C158" s="1168"/>
      <c r="D158" s="1160" t="s">
        <v>1071</v>
      </c>
      <c r="E158" s="1145">
        <f t="shared" si="48"/>
        <v>0</v>
      </c>
      <c r="F158" s="1153">
        <f t="shared" si="50"/>
        <v>0</v>
      </c>
      <c r="G158" s="1163"/>
      <c r="H158" s="1163"/>
      <c r="I158" s="1163"/>
      <c r="J158" s="1163"/>
      <c r="K158" s="1163"/>
      <c r="L158" s="1163"/>
      <c r="M158" s="1161"/>
      <c r="N158" s="1162"/>
      <c r="O158" s="1163"/>
      <c r="P158" s="1163"/>
      <c r="Q158" s="1163"/>
      <c r="R158" s="1163"/>
      <c r="S158" s="1163"/>
      <c r="T158" s="1162"/>
      <c r="U158" s="1167"/>
      <c r="V158" s="1161">
        <f t="shared" si="47"/>
        <v>0</v>
      </c>
    </row>
    <row r="159" spans="1:22" ht="34.950000000000003" customHeight="1" x14ac:dyDescent="0.25">
      <c r="A159" s="1150" t="s">
        <v>1072</v>
      </c>
      <c r="B159" s="1169">
        <v>2030</v>
      </c>
      <c r="C159" s="1151" t="s">
        <v>1073</v>
      </c>
      <c r="D159" s="1197" t="s">
        <v>1074</v>
      </c>
      <c r="E159" s="1145">
        <f t="shared" si="48"/>
        <v>7499561</v>
      </c>
      <c r="F159" s="1153">
        <f t="shared" si="50"/>
        <v>7499561</v>
      </c>
      <c r="G159" s="1163"/>
      <c r="H159" s="1153"/>
      <c r="I159" s="1153"/>
      <c r="J159" s="1153"/>
      <c r="K159" s="1153">
        <v>7499561</v>
      </c>
      <c r="L159" s="1153"/>
      <c r="M159" s="1145">
        <f>SUM(O159,T159)</f>
        <v>0</v>
      </c>
      <c r="N159" s="1153">
        <f>T159</f>
        <v>0</v>
      </c>
      <c r="O159" s="1153"/>
      <c r="P159" s="1153"/>
      <c r="Q159" s="1153"/>
      <c r="R159" s="1153"/>
      <c r="S159" s="1153"/>
      <c r="T159" s="1172"/>
      <c r="U159" s="1180"/>
      <c r="V159" s="1145">
        <f t="shared" si="47"/>
        <v>7499561</v>
      </c>
    </row>
    <row r="160" spans="1:22" ht="43.2" hidden="1" customHeight="1" x14ac:dyDescent="0.25">
      <c r="A160" s="1150"/>
      <c r="B160" s="1169"/>
      <c r="C160" s="1151"/>
      <c r="D160" s="1197" t="s">
        <v>1067</v>
      </c>
      <c r="E160" s="1145">
        <f t="shared" si="48"/>
        <v>0</v>
      </c>
      <c r="F160" s="1153">
        <f t="shared" si="50"/>
        <v>0</v>
      </c>
      <c r="G160" s="1163"/>
      <c r="H160" s="1153"/>
      <c r="I160" s="1153"/>
      <c r="J160" s="1153"/>
      <c r="K160" s="1153"/>
      <c r="L160" s="1153"/>
      <c r="M160" s="1145"/>
      <c r="N160" s="1153"/>
      <c r="O160" s="1153"/>
      <c r="P160" s="1153"/>
      <c r="Q160" s="1153"/>
      <c r="R160" s="1153"/>
      <c r="S160" s="1153"/>
      <c r="T160" s="1172"/>
      <c r="U160" s="1180"/>
      <c r="V160" s="1145">
        <f t="shared" si="47"/>
        <v>0</v>
      </c>
    </row>
    <row r="161" spans="1:22" s="1166" customFormat="1" ht="35.4" hidden="1" customHeight="1" x14ac:dyDescent="0.25">
      <c r="A161" s="1150"/>
      <c r="B161" s="1158"/>
      <c r="C161" s="1168"/>
      <c r="D161" s="1160" t="s">
        <v>1068</v>
      </c>
      <c r="E161" s="1145">
        <f t="shared" si="48"/>
        <v>0</v>
      </c>
      <c r="F161" s="1153">
        <f t="shared" si="50"/>
        <v>0</v>
      </c>
      <c r="G161" s="1163"/>
      <c r="H161" s="1163"/>
      <c r="I161" s="1163"/>
      <c r="J161" s="1163"/>
      <c r="K161" s="1163"/>
      <c r="L161" s="1163"/>
      <c r="M161" s="1161"/>
      <c r="N161" s="1163"/>
      <c r="O161" s="1163"/>
      <c r="P161" s="1163"/>
      <c r="Q161" s="1163"/>
      <c r="R161" s="1163"/>
      <c r="S161" s="1163"/>
      <c r="T161" s="1162"/>
      <c r="U161" s="1167"/>
      <c r="V161" s="1145">
        <f t="shared" si="47"/>
        <v>0</v>
      </c>
    </row>
    <row r="162" spans="1:22" s="1166" customFormat="1" ht="16.2" hidden="1" x14ac:dyDescent="0.25">
      <c r="A162" s="1150"/>
      <c r="B162" s="1158"/>
      <c r="C162" s="1168"/>
      <c r="D162" s="1160" t="s">
        <v>1071</v>
      </c>
      <c r="E162" s="1145">
        <f t="shared" si="48"/>
        <v>0</v>
      </c>
      <c r="F162" s="1153">
        <f t="shared" si="50"/>
        <v>0</v>
      </c>
      <c r="G162" s="1163"/>
      <c r="H162" s="1163"/>
      <c r="I162" s="1163"/>
      <c r="J162" s="1163"/>
      <c r="K162" s="1163"/>
      <c r="L162" s="1163"/>
      <c r="M162" s="1161"/>
      <c r="N162" s="1163"/>
      <c r="O162" s="1163"/>
      <c r="P162" s="1163"/>
      <c r="Q162" s="1163"/>
      <c r="R162" s="1163"/>
      <c r="S162" s="1163"/>
      <c r="T162" s="1162"/>
      <c r="U162" s="1167"/>
      <c r="V162" s="1145">
        <f t="shared" si="47"/>
        <v>0</v>
      </c>
    </row>
    <row r="163" spans="1:22" ht="36.75" customHeight="1" x14ac:dyDescent="0.25">
      <c r="A163" s="1150" t="s">
        <v>1075</v>
      </c>
      <c r="B163" s="1169">
        <v>2080</v>
      </c>
      <c r="C163" s="1151" t="s">
        <v>1076</v>
      </c>
      <c r="D163" s="1197" t="s">
        <v>1077</v>
      </c>
      <c r="E163" s="1145">
        <f t="shared" si="48"/>
        <v>6022770</v>
      </c>
      <c r="F163" s="1153">
        <f t="shared" si="50"/>
        <v>6022770</v>
      </c>
      <c r="G163" s="1162"/>
      <c r="H163" s="1153"/>
      <c r="I163" s="1153"/>
      <c r="J163" s="1153"/>
      <c r="K163" s="1153">
        <v>6022770</v>
      </c>
      <c r="L163" s="1153"/>
      <c r="M163" s="1145">
        <f>SUM(O163,T163)</f>
        <v>0</v>
      </c>
      <c r="N163" s="1172">
        <f>T163</f>
        <v>0</v>
      </c>
      <c r="O163" s="1153"/>
      <c r="P163" s="1153"/>
      <c r="Q163" s="1153"/>
      <c r="R163" s="1153"/>
      <c r="S163" s="1153"/>
      <c r="T163" s="1172"/>
      <c r="U163" s="1180"/>
      <c r="V163" s="1145">
        <f t="shared" si="47"/>
        <v>6022770</v>
      </c>
    </row>
    <row r="164" spans="1:22" ht="53.4" hidden="1" customHeight="1" x14ac:dyDescent="0.25">
      <c r="A164" s="1150"/>
      <c r="B164" s="1169"/>
      <c r="C164" s="1151"/>
      <c r="D164" s="1197" t="s">
        <v>1067</v>
      </c>
      <c r="E164" s="1145">
        <f t="shared" si="48"/>
        <v>0</v>
      </c>
      <c r="F164" s="1153">
        <f>K164</f>
        <v>0</v>
      </c>
      <c r="G164" s="1162"/>
      <c r="H164" s="1153"/>
      <c r="I164" s="1153"/>
      <c r="J164" s="1153"/>
      <c r="K164" s="1153"/>
      <c r="L164" s="1153"/>
      <c r="M164" s="1145"/>
      <c r="N164" s="1172"/>
      <c r="O164" s="1153"/>
      <c r="P164" s="1153"/>
      <c r="Q164" s="1153"/>
      <c r="R164" s="1153"/>
      <c r="S164" s="1153"/>
      <c r="T164" s="1172"/>
      <c r="U164" s="1180"/>
      <c r="V164" s="1145">
        <f t="shared" si="47"/>
        <v>0</v>
      </c>
    </row>
    <row r="165" spans="1:22" s="1166" customFormat="1" ht="16.2" hidden="1" x14ac:dyDescent="0.25">
      <c r="A165" s="1150"/>
      <c r="B165" s="1158"/>
      <c r="C165" s="1168"/>
      <c r="D165" s="1160" t="s">
        <v>1068</v>
      </c>
      <c r="E165" s="1145">
        <f t="shared" si="48"/>
        <v>0</v>
      </c>
      <c r="F165" s="1163">
        <f t="shared" si="50"/>
        <v>0</v>
      </c>
      <c r="G165" s="1162"/>
      <c r="H165" s="1162"/>
      <c r="I165" s="1163"/>
      <c r="J165" s="1163"/>
      <c r="K165" s="1163"/>
      <c r="L165" s="1163"/>
      <c r="M165" s="1145"/>
      <c r="N165" s="1163"/>
      <c r="O165" s="1163"/>
      <c r="P165" s="1163"/>
      <c r="Q165" s="1163"/>
      <c r="R165" s="1163"/>
      <c r="S165" s="1163"/>
      <c r="T165" s="1162"/>
      <c r="U165" s="1207"/>
      <c r="V165" s="1145">
        <f t="shared" si="47"/>
        <v>0</v>
      </c>
    </row>
    <row r="166" spans="1:22" ht="15.6" hidden="1" x14ac:dyDescent="0.25">
      <c r="A166" s="1150" t="s">
        <v>1078</v>
      </c>
      <c r="B166" s="1169">
        <v>2100</v>
      </c>
      <c r="C166" s="1151" t="s">
        <v>1079</v>
      </c>
      <c r="D166" s="1197" t="s">
        <v>1080</v>
      </c>
      <c r="E166" s="1145">
        <f t="shared" si="48"/>
        <v>0</v>
      </c>
      <c r="F166" s="1153">
        <f t="shared" si="50"/>
        <v>0</v>
      </c>
      <c r="G166" s="1163"/>
      <c r="H166" s="1153"/>
      <c r="I166" s="1153"/>
      <c r="J166" s="1153"/>
      <c r="K166" s="1153"/>
      <c r="L166" s="1153"/>
      <c r="M166" s="1145">
        <f>SUM(O166,T166)</f>
        <v>0</v>
      </c>
      <c r="N166" s="1153">
        <f>T166</f>
        <v>0</v>
      </c>
      <c r="O166" s="1153"/>
      <c r="P166" s="1153"/>
      <c r="Q166" s="1153"/>
      <c r="R166" s="1153"/>
      <c r="S166" s="1153"/>
      <c r="T166" s="1172"/>
      <c r="U166" s="1180"/>
      <c r="V166" s="1145">
        <f t="shared" si="47"/>
        <v>0</v>
      </c>
    </row>
    <row r="167" spans="1:22" ht="47.4" hidden="1" customHeight="1" x14ac:dyDescent="0.25">
      <c r="A167" s="1150"/>
      <c r="B167" s="1169"/>
      <c r="C167" s="1151"/>
      <c r="D167" s="1197" t="s">
        <v>1067</v>
      </c>
      <c r="E167" s="1145">
        <f t="shared" si="48"/>
        <v>0</v>
      </c>
      <c r="F167" s="1153">
        <f>K167</f>
        <v>0</v>
      </c>
      <c r="G167" s="1163"/>
      <c r="H167" s="1153"/>
      <c r="I167" s="1153"/>
      <c r="J167" s="1153"/>
      <c r="K167" s="1153"/>
      <c r="L167" s="1153"/>
      <c r="M167" s="1145"/>
      <c r="N167" s="1153"/>
      <c r="O167" s="1153"/>
      <c r="P167" s="1153"/>
      <c r="Q167" s="1153"/>
      <c r="R167" s="1153"/>
      <c r="S167" s="1153"/>
      <c r="T167" s="1172"/>
      <c r="U167" s="1180"/>
      <c r="V167" s="1145">
        <f t="shared" si="47"/>
        <v>0</v>
      </c>
    </row>
    <row r="168" spans="1:22" s="1166" customFormat="1" ht="16.2" hidden="1" x14ac:dyDescent="0.25">
      <c r="A168" s="1150"/>
      <c r="B168" s="1158"/>
      <c r="C168" s="1168"/>
      <c r="D168" s="1160" t="s">
        <v>1068</v>
      </c>
      <c r="E168" s="1145">
        <f t="shared" si="48"/>
        <v>0</v>
      </c>
      <c r="F168" s="1153">
        <f t="shared" si="50"/>
        <v>0</v>
      </c>
      <c r="G168" s="1163"/>
      <c r="H168" s="1163"/>
      <c r="I168" s="1163"/>
      <c r="J168" s="1163"/>
      <c r="K168" s="1163"/>
      <c r="L168" s="1163"/>
      <c r="M168" s="1161"/>
      <c r="N168" s="1163"/>
      <c r="O168" s="1163"/>
      <c r="P168" s="1163"/>
      <c r="Q168" s="1163"/>
      <c r="R168" s="1163"/>
      <c r="S168" s="1163"/>
      <c r="T168" s="1162"/>
      <c r="U168" s="1167"/>
      <c r="V168" s="1145">
        <f t="shared" si="47"/>
        <v>0</v>
      </c>
    </row>
    <row r="169" spans="1:22" s="1166" customFormat="1" ht="49.2" customHeight="1" x14ac:dyDescent="0.25">
      <c r="A169" s="1150" t="s">
        <v>1081</v>
      </c>
      <c r="B169" s="1169">
        <v>2111</v>
      </c>
      <c r="C169" s="1151" t="s">
        <v>1082</v>
      </c>
      <c r="D169" s="1179" t="s">
        <v>1083</v>
      </c>
      <c r="E169" s="1145">
        <f t="shared" si="48"/>
        <v>19038834</v>
      </c>
      <c r="F169" s="1153">
        <f t="shared" si="50"/>
        <v>19038834</v>
      </c>
      <c r="G169" s="1163"/>
      <c r="H169" s="1163"/>
      <c r="I169" s="1163"/>
      <c r="J169" s="1163"/>
      <c r="K169" s="1153">
        <v>19038834</v>
      </c>
      <c r="L169" s="1163"/>
      <c r="M169" s="1145">
        <f t="shared" ref="M169:M177" si="53">O169+T169</f>
        <v>0</v>
      </c>
      <c r="N169" s="1153">
        <f>T169</f>
        <v>0</v>
      </c>
      <c r="O169" s="1163"/>
      <c r="P169" s="1163"/>
      <c r="Q169" s="1163"/>
      <c r="R169" s="1163"/>
      <c r="S169" s="1163"/>
      <c r="T169" s="1172"/>
      <c r="U169" s="1180"/>
      <c r="V169" s="1145">
        <f t="shared" si="47"/>
        <v>19038834</v>
      </c>
    </row>
    <row r="170" spans="1:22" s="1166" customFormat="1" ht="16.2" hidden="1" x14ac:dyDescent="0.25">
      <c r="A170" s="1150"/>
      <c r="B170" s="1158"/>
      <c r="C170" s="1151"/>
      <c r="D170" s="1160" t="s">
        <v>1068</v>
      </c>
      <c r="E170" s="1145">
        <f t="shared" si="48"/>
        <v>0</v>
      </c>
      <c r="F170" s="1153">
        <f t="shared" si="50"/>
        <v>0</v>
      </c>
      <c r="G170" s="1163"/>
      <c r="H170" s="1163"/>
      <c r="I170" s="1163"/>
      <c r="J170" s="1163"/>
      <c r="K170" s="1153"/>
      <c r="L170" s="1163"/>
      <c r="M170" s="1161">
        <f t="shared" si="53"/>
        <v>0</v>
      </c>
      <c r="N170" s="1163"/>
      <c r="O170" s="1163"/>
      <c r="P170" s="1163"/>
      <c r="Q170" s="1163"/>
      <c r="R170" s="1163"/>
      <c r="S170" s="1163"/>
      <c r="T170" s="1162"/>
      <c r="U170" s="1167"/>
      <c r="V170" s="1145">
        <f t="shared" si="47"/>
        <v>0</v>
      </c>
    </row>
    <row r="171" spans="1:22" s="1166" customFormat="1" ht="27.6" hidden="1" x14ac:dyDescent="0.25">
      <c r="A171" s="1150" t="s">
        <v>1084</v>
      </c>
      <c r="B171" s="1158">
        <v>2140</v>
      </c>
      <c r="C171" s="1168"/>
      <c r="D171" s="1179" t="s">
        <v>1085</v>
      </c>
      <c r="E171" s="1145">
        <f>E172+E176</f>
        <v>0</v>
      </c>
      <c r="F171" s="1153">
        <f>F172+F176</f>
        <v>0</v>
      </c>
      <c r="G171" s="1163"/>
      <c r="H171" s="1163"/>
      <c r="I171" s="1163"/>
      <c r="J171" s="1163"/>
      <c r="K171" s="1163"/>
      <c r="L171" s="1163"/>
      <c r="M171" s="1161">
        <f t="shared" si="53"/>
        <v>0</v>
      </c>
      <c r="N171" s="1163"/>
      <c r="O171" s="1163"/>
      <c r="P171" s="1163"/>
      <c r="Q171" s="1163"/>
      <c r="R171" s="1163"/>
      <c r="S171" s="1163"/>
      <c r="T171" s="1162"/>
      <c r="U171" s="1167"/>
      <c r="V171" s="1145">
        <f t="shared" si="47"/>
        <v>0</v>
      </c>
    </row>
    <row r="172" spans="1:22" s="1166" customFormat="1" ht="36.6" hidden="1" customHeight="1" x14ac:dyDescent="0.25">
      <c r="A172" s="1150" t="s">
        <v>1086</v>
      </c>
      <c r="B172" s="1158">
        <v>2144</v>
      </c>
      <c r="C172" s="1168" t="s">
        <v>1087</v>
      </c>
      <c r="D172" s="1160" t="s">
        <v>1088</v>
      </c>
      <c r="E172" s="1145">
        <f t="shared" ref="E172:E177" si="54">F172</f>
        <v>0</v>
      </c>
      <c r="F172" s="1153">
        <f t="shared" ref="F172:F177" si="55">SUM(G172:K172)</f>
        <v>0</v>
      </c>
      <c r="G172" s="1163"/>
      <c r="H172" s="1163"/>
      <c r="I172" s="1163"/>
      <c r="J172" s="1163"/>
      <c r="K172" s="1153"/>
      <c r="L172" s="1163"/>
      <c r="M172" s="1161">
        <f t="shared" si="53"/>
        <v>0</v>
      </c>
      <c r="N172" s="1163"/>
      <c r="O172" s="1163"/>
      <c r="P172" s="1163"/>
      <c r="Q172" s="1163"/>
      <c r="R172" s="1163"/>
      <c r="S172" s="1163"/>
      <c r="T172" s="1162"/>
      <c r="U172" s="1167"/>
      <c r="V172" s="1145">
        <f t="shared" si="47"/>
        <v>0</v>
      </c>
    </row>
    <row r="173" spans="1:22" s="1166" customFormat="1" ht="64.2" hidden="1" customHeight="1" x14ac:dyDescent="0.25">
      <c r="A173" s="1159"/>
      <c r="B173" s="1158"/>
      <c r="C173" s="1168"/>
      <c r="D173" s="1160" t="s">
        <v>1062</v>
      </c>
      <c r="E173" s="1145">
        <f t="shared" si="54"/>
        <v>0</v>
      </c>
      <c r="F173" s="1163">
        <f t="shared" si="55"/>
        <v>0</v>
      </c>
      <c r="G173" s="1163"/>
      <c r="H173" s="1163"/>
      <c r="I173" s="1163"/>
      <c r="J173" s="1163"/>
      <c r="K173" s="1163"/>
      <c r="L173" s="1163"/>
      <c r="M173" s="1161">
        <f t="shared" si="53"/>
        <v>0</v>
      </c>
      <c r="N173" s="1163"/>
      <c r="O173" s="1163"/>
      <c r="P173" s="1163"/>
      <c r="Q173" s="1163"/>
      <c r="R173" s="1163"/>
      <c r="S173" s="1163"/>
      <c r="T173" s="1162"/>
      <c r="U173" s="1167"/>
      <c r="V173" s="1161">
        <f t="shared" si="47"/>
        <v>0</v>
      </c>
    </row>
    <row r="174" spans="1:22" s="1166" customFormat="1" ht="64.2" hidden="1" customHeight="1" x14ac:dyDescent="0.25">
      <c r="A174" s="1159"/>
      <c r="B174" s="1158"/>
      <c r="C174" s="1168"/>
      <c r="D174" s="1160" t="s">
        <v>1063</v>
      </c>
      <c r="E174" s="1161">
        <f t="shared" si="54"/>
        <v>0</v>
      </c>
      <c r="F174" s="1163">
        <f t="shared" si="55"/>
        <v>0</v>
      </c>
      <c r="G174" s="1163"/>
      <c r="H174" s="1163"/>
      <c r="I174" s="1163"/>
      <c r="J174" s="1163"/>
      <c r="K174" s="1163"/>
      <c r="L174" s="1163"/>
      <c r="M174" s="1161"/>
      <c r="N174" s="1163"/>
      <c r="O174" s="1163"/>
      <c r="P174" s="1163"/>
      <c r="Q174" s="1163"/>
      <c r="R174" s="1163"/>
      <c r="S174" s="1163"/>
      <c r="T174" s="1162"/>
      <c r="U174" s="1167"/>
      <c r="V174" s="1161">
        <f t="shared" si="47"/>
        <v>0</v>
      </c>
    </row>
    <row r="175" spans="1:22" s="1166" customFormat="1" ht="64.2" hidden="1" customHeight="1" x14ac:dyDescent="0.25">
      <c r="A175" s="1159"/>
      <c r="B175" s="1158"/>
      <c r="C175" s="1168"/>
      <c r="D175" s="1160" t="s">
        <v>1089</v>
      </c>
      <c r="E175" s="1145">
        <f t="shared" si="54"/>
        <v>0</v>
      </c>
      <c r="F175" s="1163">
        <f t="shared" si="55"/>
        <v>0</v>
      </c>
      <c r="G175" s="1163"/>
      <c r="H175" s="1163"/>
      <c r="I175" s="1163"/>
      <c r="J175" s="1163"/>
      <c r="K175" s="1163"/>
      <c r="L175" s="1163"/>
      <c r="M175" s="1161"/>
      <c r="N175" s="1163"/>
      <c r="O175" s="1163"/>
      <c r="P175" s="1163"/>
      <c r="Q175" s="1163"/>
      <c r="R175" s="1163"/>
      <c r="S175" s="1163"/>
      <c r="T175" s="1162"/>
      <c r="U175" s="1167"/>
      <c r="V175" s="1161">
        <f t="shared" si="47"/>
        <v>0</v>
      </c>
    </row>
    <row r="176" spans="1:22" s="1166" customFormat="1" ht="36" hidden="1" customHeight="1" x14ac:dyDescent="0.25">
      <c r="A176" s="1150" t="s">
        <v>1090</v>
      </c>
      <c r="B176" s="1158">
        <v>2146</v>
      </c>
      <c r="C176" s="1168" t="s">
        <v>1087</v>
      </c>
      <c r="D176" s="1160" t="s">
        <v>1091</v>
      </c>
      <c r="E176" s="1145">
        <f t="shared" si="54"/>
        <v>0</v>
      </c>
      <c r="F176" s="1153">
        <f t="shared" si="55"/>
        <v>0</v>
      </c>
      <c r="G176" s="1163"/>
      <c r="H176" s="1163"/>
      <c r="I176" s="1163"/>
      <c r="J176" s="1163"/>
      <c r="K176" s="1163"/>
      <c r="L176" s="1163"/>
      <c r="M176" s="1161">
        <f t="shared" si="53"/>
        <v>0</v>
      </c>
      <c r="N176" s="1163"/>
      <c r="O176" s="1163"/>
      <c r="P176" s="1163"/>
      <c r="Q176" s="1163"/>
      <c r="R176" s="1163"/>
      <c r="S176" s="1163"/>
      <c r="T176" s="1162"/>
      <c r="U176" s="1167"/>
      <c r="V176" s="1145">
        <f t="shared" si="47"/>
        <v>0</v>
      </c>
    </row>
    <row r="177" spans="1:22" s="1166" customFormat="1" ht="49.2" hidden="1" customHeight="1" x14ac:dyDescent="0.25">
      <c r="A177" s="1150"/>
      <c r="B177" s="1158"/>
      <c r="C177" s="1168"/>
      <c r="D177" s="1160" t="s">
        <v>1092</v>
      </c>
      <c r="E177" s="1145">
        <f t="shared" si="54"/>
        <v>0</v>
      </c>
      <c r="F177" s="1153">
        <f t="shared" si="55"/>
        <v>0</v>
      </c>
      <c r="G177" s="1163"/>
      <c r="H177" s="1163"/>
      <c r="I177" s="1163"/>
      <c r="J177" s="1163"/>
      <c r="K177" s="1163"/>
      <c r="L177" s="1163"/>
      <c r="M177" s="1161">
        <f t="shared" si="53"/>
        <v>0</v>
      </c>
      <c r="N177" s="1163"/>
      <c r="O177" s="1163"/>
      <c r="P177" s="1163"/>
      <c r="Q177" s="1163"/>
      <c r="R177" s="1163"/>
      <c r="S177" s="1163"/>
      <c r="T177" s="1162"/>
      <c r="U177" s="1167"/>
      <c r="V177" s="1145">
        <f t="shared" si="47"/>
        <v>0</v>
      </c>
    </row>
    <row r="178" spans="1:22" ht="30.45" hidden="1" customHeight="1" x14ac:dyDescent="0.25">
      <c r="A178" s="1150" t="s">
        <v>1093</v>
      </c>
      <c r="B178" s="1169">
        <v>2150</v>
      </c>
      <c r="C178" s="1151"/>
      <c r="D178" s="1176" t="s">
        <v>1094</v>
      </c>
      <c r="E178" s="1145">
        <f t="shared" si="48"/>
        <v>93968833</v>
      </c>
      <c r="F178" s="1153">
        <f>F179+F181</f>
        <v>93968833</v>
      </c>
      <c r="G178" s="1153">
        <f t="shared" ref="G178:U178" si="56">G179+G181</f>
        <v>0</v>
      </c>
      <c r="H178" s="1153">
        <f t="shared" si="56"/>
        <v>0</v>
      </c>
      <c r="I178" s="1153">
        <f t="shared" si="56"/>
        <v>1651082</v>
      </c>
      <c r="J178" s="1153">
        <f t="shared" si="56"/>
        <v>0</v>
      </c>
      <c r="K178" s="1153">
        <f t="shared" si="56"/>
        <v>92317751</v>
      </c>
      <c r="L178" s="1153">
        <f t="shared" si="56"/>
        <v>0</v>
      </c>
      <c r="M178" s="1145">
        <f>T178</f>
        <v>0</v>
      </c>
      <c r="N178" s="1153">
        <f t="shared" si="56"/>
        <v>0</v>
      </c>
      <c r="O178" s="1153">
        <f t="shared" si="56"/>
        <v>0</v>
      </c>
      <c r="P178" s="1153">
        <f t="shared" si="56"/>
        <v>0</v>
      </c>
      <c r="Q178" s="1153">
        <f t="shared" si="56"/>
        <v>0</v>
      </c>
      <c r="R178" s="1153">
        <f t="shared" si="56"/>
        <v>0</v>
      </c>
      <c r="S178" s="1153">
        <f t="shared" si="56"/>
        <v>0</v>
      </c>
      <c r="T178" s="1172">
        <f t="shared" si="56"/>
        <v>0</v>
      </c>
      <c r="U178" s="1180">
        <f t="shared" si="56"/>
        <v>0</v>
      </c>
      <c r="V178" s="1145">
        <f t="shared" si="47"/>
        <v>93968833</v>
      </c>
    </row>
    <row r="179" spans="1:22" ht="30.45" hidden="1" customHeight="1" x14ac:dyDescent="0.25">
      <c r="A179" s="1150" t="s">
        <v>1095</v>
      </c>
      <c r="B179" s="1169">
        <v>2151</v>
      </c>
      <c r="C179" s="1151" t="s">
        <v>1087</v>
      </c>
      <c r="D179" s="1176" t="s">
        <v>1096</v>
      </c>
      <c r="E179" s="1145">
        <f t="shared" si="48"/>
        <v>0</v>
      </c>
      <c r="F179" s="1153">
        <f t="shared" si="50"/>
        <v>0</v>
      </c>
      <c r="G179" s="1163"/>
      <c r="H179" s="1153"/>
      <c r="I179" s="1153"/>
      <c r="J179" s="1153"/>
      <c r="K179" s="1153"/>
      <c r="L179" s="1153"/>
      <c r="M179" s="1145">
        <f>T179</f>
        <v>0</v>
      </c>
      <c r="N179" s="1153"/>
      <c r="O179" s="1153"/>
      <c r="P179" s="1153"/>
      <c r="Q179" s="1153"/>
      <c r="R179" s="1153"/>
      <c r="S179" s="1153"/>
      <c r="T179" s="1172"/>
      <c r="U179" s="1180"/>
      <c r="V179" s="1145">
        <f t="shared" si="47"/>
        <v>0</v>
      </c>
    </row>
    <row r="180" spans="1:22" ht="30.45" hidden="1" customHeight="1" x14ac:dyDescent="0.25">
      <c r="A180" s="1150"/>
      <c r="B180" s="1169"/>
      <c r="C180" s="1151"/>
      <c r="D180" s="1160" t="s">
        <v>1068</v>
      </c>
      <c r="E180" s="1145">
        <f t="shared" si="48"/>
        <v>0</v>
      </c>
      <c r="F180" s="1163">
        <f t="shared" si="50"/>
        <v>0</v>
      </c>
      <c r="G180" s="1163"/>
      <c r="H180" s="1153"/>
      <c r="I180" s="1153"/>
      <c r="J180" s="1153"/>
      <c r="K180" s="1163"/>
      <c r="L180" s="1153"/>
      <c r="M180" s="1145"/>
      <c r="N180" s="1153"/>
      <c r="O180" s="1153"/>
      <c r="P180" s="1153"/>
      <c r="Q180" s="1153"/>
      <c r="R180" s="1153"/>
      <c r="S180" s="1153"/>
      <c r="T180" s="1172"/>
      <c r="U180" s="1180"/>
      <c r="V180" s="1145">
        <f t="shared" si="47"/>
        <v>0</v>
      </c>
    </row>
    <row r="181" spans="1:22" ht="30.45" customHeight="1" x14ac:dyDescent="0.25">
      <c r="A181" s="1150" t="s">
        <v>1097</v>
      </c>
      <c r="B181" s="1169">
        <v>2152</v>
      </c>
      <c r="C181" s="1151" t="s">
        <v>1087</v>
      </c>
      <c r="D181" s="1176" t="s">
        <v>1098</v>
      </c>
      <c r="E181" s="1145">
        <f>F181</f>
        <v>93968833</v>
      </c>
      <c r="F181" s="1153">
        <f>SUM(G181:K181)</f>
        <v>93968833</v>
      </c>
      <c r="G181" s="1163"/>
      <c r="H181" s="1153"/>
      <c r="I181" s="1153">
        <f>1150878+500204</f>
        <v>1651082</v>
      </c>
      <c r="J181" s="1153"/>
      <c r="K181" s="1153">
        <f>70291340-1150878+8601695+14575594</f>
        <v>92317751</v>
      </c>
      <c r="L181" s="1153"/>
      <c r="M181" s="1145"/>
      <c r="N181" s="1153"/>
      <c r="O181" s="1153"/>
      <c r="P181" s="1153"/>
      <c r="Q181" s="1153"/>
      <c r="R181" s="1153"/>
      <c r="S181" s="1153"/>
      <c r="T181" s="1172"/>
      <c r="U181" s="1180"/>
      <c r="V181" s="1145">
        <f t="shared" si="47"/>
        <v>93968833</v>
      </c>
    </row>
    <row r="182" spans="1:22" s="1166" customFormat="1" ht="16.2" hidden="1" x14ac:dyDescent="0.25">
      <c r="A182" s="1150"/>
      <c r="B182" s="1158"/>
      <c r="C182" s="1168"/>
      <c r="D182" s="1160" t="s">
        <v>1068</v>
      </c>
      <c r="E182" s="1145">
        <f t="shared" si="48"/>
        <v>0</v>
      </c>
      <c r="F182" s="1153">
        <f t="shared" si="50"/>
        <v>0</v>
      </c>
      <c r="G182" s="1163"/>
      <c r="H182" s="1163"/>
      <c r="I182" s="1163"/>
      <c r="J182" s="1163"/>
      <c r="K182" s="1163"/>
      <c r="L182" s="1163"/>
      <c r="M182" s="1161"/>
      <c r="N182" s="1164"/>
      <c r="O182" s="1163"/>
      <c r="P182" s="1163"/>
      <c r="Q182" s="1163"/>
      <c r="R182" s="1163"/>
      <c r="S182" s="1163"/>
      <c r="T182" s="1162"/>
      <c r="U182" s="1207"/>
      <c r="V182" s="1145">
        <f t="shared" si="47"/>
        <v>0</v>
      </c>
    </row>
    <row r="183" spans="1:22" s="1166" customFormat="1" ht="16.2" hidden="1" x14ac:dyDescent="0.25">
      <c r="A183" s="1150"/>
      <c r="B183" s="1158"/>
      <c r="C183" s="1168"/>
      <c r="D183" s="1160" t="s">
        <v>904</v>
      </c>
      <c r="E183" s="1145">
        <f t="shared" si="48"/>
        <v>0</v>
      </c>
      <c r="F183" s="1153">
        <f t="shared" si="50"/>
        <v>0</v>
      </c>
      <c r="G183" s="1163"/>
      <c r="H183" s="1163"/>
      <c r="I183" s="1163"/>
      <c r="J183" s="1163"/>
      <c r="K183" s="1163"/>
      <c r="L183" s="1163"/>
      <c r="M183" s="1161"/>
      <c r="N183" s="1164"/>
      <c r="O183" s="1163"/>
      <c r="P183" s="1163"/>
      <c r="Q183" s="1163"/>
      <c r="R183" s="1163"/>
      <c r="S183" s="1163"/>
      <c r="T183" s="1162"/>
      <c r="U183" s="1207"/>
      <c r="V183" s="1145">
        <f t="shared" si="47"/>
        <v>0</v>
      </c>
    </row>
    <row r="184" spans="1:22" s="1166" customFormat="1" ht="41.4" hidden="1" x14ac:dyDescent="0.25">
      <c r="A184" s="1150"/>
      <c r="B184" s="1158"/>
      <c r="C184" s="1168"/>
      <c r="D184" s="1160" t="s">
        <v>1099</v>
      </c>
      <c r="E184" s="1145">
        <f t="shared" si="48"/>
        <v>0</v>
      </c>
      <c r="F184" s="1153">
        <f t="shared" si="50"/>
        <v>0</v>
      </c>
      <c r="G184" s="1163"/>
      <c r="H184" s="1163"/>
      <c r="I184" s="1163"/>
      <c r="J184" s="1163"/>
      <c r="K184" s="1163"/>
      <c r="L184" s="1163"/>
      <c r="M184" s="1161"/>
      <c r="N184" s="1164"/>
      <c r="O184" s="1163"/>
      <c r="P184" s="1163"/>
      <c r="Q184" s="1163"/>
      <c r="R184" s="1163"/>
      <c r="S184" s="1163"/>
      <c r="T184" s="1162"/>
      <c r="U184" s="1207"/>
      <c r="V184" s="1145">
        <f t="shared" si="47"/>
        <v>0</v>
      </c>
    </row>
    <row r="185" spans="1:22" s="1166" customFormat="1" ht="55.2" hidden="1" x14ac:dyDescent="0.25">
      <c r="A185" s="1150"/>
      <c r="B185" s="1158"/>
      <c r="C185" s="1168"/>
      <c r="D185" s="1160" t="s">
        <v>1100</v>
      </c>
      <c r="E185" s="1145">
        <f t="shared" si="48"/>
        <v>0</v>
      </c>
      <c r="F185" s="1153">
        <f t="shared" si="50"/>
        <v>0</v>
      </c>
      <c r="G185" s="1163"/>
      <c r="H185" s="1163"/>
      <c r="I185" s="1163"/>
      <c r="J185" s="1163"/>
      <c r="K185" s="1163"/>
      <c r="L185" s="1163"/>
      <c r="M185" s="1161"/>
      <c r="N185" s="1164"/>
      <c r="O185" s="1163"/>
      <c r="P185" s="1163"/>
      <c r="Q185" s="1163"/>
      <c r="R185" s="1163"/>
      <c r="S185" s="1163"/>
      <c r="T185" s="1162"/>
      <c r="U185" s="1207"/>
      <c r="V185" s="1145">
        <f t="shared" si="47"/>
        <v>0</v>
      </c>
    </row>
    <row r="186" spans="1:22" ht="51" hidden="1" customHeight="1" x14ac:dyDescent="0.25">
      <c r="A186" s="1150" t="s">
        <v>1101</v>
      </c>
      <c r="B186" s="1169">
        <v>3050</v>
      </c>
      <c r="C186" s="1151" t="s">
        <v>980</v>
      </c>
      <c r="D186" s="1208" t="s">
        <v>294</v>
      </c>
      <c r="E186" s="1145">
        <f t="shared" si="48"/>
        <v>0</v>
      </c>
      <c r="F186" s="1153">
        <f t="shared" si="50"/>
        <v>0</v>
      </c>
      <c r="G186" s="1153"/>
      <c r="H186" s="1153"/>
      <c r="I186" s="1153"/>
      <c r="J186" s="1153"/>
      <c r="K186" s="1153"/>
      <c r="L186" s="1153"/>
      <c r="M186" s="1145"/>
      <c r="N186" s="1181"/>
      <c r="O186" s="1153"/>
      <c r="P186" s="1153"/>
      <c r="Q186" s="1153"/>
      <c r="R186" s="1153"/>
      <c r="S186" s="1153"/>
      <c r="T186" s="1172"/>
      <c r="U186" s="1193"/>
      <c r="V186" s="1145">
        <f t="shared" si="47"/>
        <v>0</v>
      </c>
    </row>
    <row r="187" spans="1:22" s="1166" customFormat="1" ht="16.2" hidden="1" x14ac:dyDescent="0.25">
      <c r="A187" s="1150"/>
      <c r="B187" s="1158"/>
      <c r="C187" s="1168"/>
      <c r="D187" s="1186" t="s">
        <v>1102</v>
      </c>
      <c r="E187" s="1161">
        <f t="shared" si="48"/>
        <v>0</v>
      </c>
      <c r="F187" s="1163">
        <f t="shared" si="50"/>
        <v>0</v>
      </c>
      <c r="G187" s="1163"/>
      <c r="H187" s="1163"/>
      <c r="I187" s="1163"/>
      <c r="J187" s="1163"/>
      <c r="K187" s="1163"/>
      <c r="L187" s="1163"/>
      <c r="M187" s="1161"/>
      <c r="N187" s="1164"/>
      <c r="O187" s="1163"/>
      <c r="P187" s="1163"/>
      <c r="Q187" s="1163"/>
      <c r="R187" s="1163"/>
      <c r="S187" s="1163"/>
      <c r="T187" s="1163"/>
      <c r="U187" s="1206"/>
      <c r="V187" s="1145">
        <f t="shared" si="47"/>
        <v>0</v>
      </c>
    </row>
    <row r="188" spans="1:22" ht="45.6" hidden="1" customHeight="1" x14ac:dyDescent="0.25">
      <c r="A188" s="1150" t="s">
        <v>1103</v>
      </c>
      <c r="B188" s="1169">
        <v>7363</v>
      </c>
      <c r="C188" s="1151" t="s">
        <v>1038</v>
      </c>
      <c r="D188" s="1176" t="s">
        <v>1041</v>
      </c>
      <c r="E188" s="1145"/>
      <c r="F188" s="1153"/>
      <c r="G188" s="1153"/>
      <c r="H188" s="1153"/>
      <c r="I188" s="1153"/>
      <c r="J188" s="1153"/>
      <c r="K188" s="1153"/>
      <c r="L188" s="1153"/>
      <c r="M188" s="1145">
        <f t="shared" ref="M188:M196" si="57">T188</f>
        <v>0</v>
      </c>
      <c r="N188" s="1153">
        <f t="shared" ref="N188:N193" si="58">T188</f>
        <v>0</v>
      </c>
      <c r="O188" s="1153"/>
      <c r="P188" s="1153"/>
      <c r="Q188" s="1153"/>
      <c r="R188" s="1153"/>
      <c r="S188" s="1153"/>
      <c r="T188" s="1153"/>
      <c r="U188" s="1154"/>
      <c r="V188" s="1145">
        <f t="shared" si="47"/>
        <v>0</v>
      </c>
    </row>
    <row r="189" spans="1:22" ht="44.4" hidden="1" customHeight="1" x14ac:dyDescent="0.25">
      <c r="A189" s="1150"/>
      <c r="B189" s="1169"/>
      <c r="C189" s="1151"/>
      <c r="D189" s="1160" t="s">
        <v>1042</v>
      </c>
      <c r="E189" s="1145"/>
      <c r="F189" s="1153"/>
      <c r="G189" s="1153"/>
      <c r="H189" s="1153"/>
      <c r="I189" s="1153"/>
      <c r="J189" s="1153"/>
      <c r="K189" s="1153"/>
      <c r="L189" s="1153"/>
      <c r="M189" s="1161">
        <f t="shared" si="57"/>
        <v>0</v>
      </c>
      <c r="N189" s="1163">
        <f t="shared" si="58"/>
        <v>0</v>
      </c>
      <c r="O189" s="1163"/>
      <c r="P189" s="1163"/>
      <c r="Q189" s="1163"/>
      <c r="R189" s="1163"/>
      <c r="S189" s="1163"/>
      <c r="T189" s="1163"/>
      <c r="U189" s="1165"/>
      <c r="V189" s="1145">
        <f t="shared" si="47"/>
        <v>0</v>
      </c>
    </row>
    <row r="190" spans="1:22" ht="49.95" hidden="1" customHeight="1" x14ac:dyDescent="0.25">
      <c r="A190" s="1150" t="s">
        <v>1104</v>
      </c>
      <c r="B190" s="1169">
        <v>7369</v>
      </c>
      <c r="C190" s="1191" t="s">
        <v>1038</v>
      </c>
      <c r="D190" s="1209" t="s">
        <v>1105</v>
      </c>
      <c r="E190" s="1145"/>
      <c r="F190" s="1153"/>
      <c r="G190" s="1153"/>
      <c r="H190" s="1153"/>
      <c r="I190" s="1153"/>
      <c r="J190" s="1153"/>
      <c r="K190" s="1153"/>
      <c r="L190" s="1153"/>
      <c r="M190" s="1145">
        <f>T190</f>
        <v>0</v>
      </c>
      <c r="N190" s="1153">
        <f t="shared" si="58"/>
        <v>0</v>
      </c>
      <c r="O190" s="1153"/>
      <c r="P190" s="1153"/>
      <c r="Q190" s="1153"/>
      <c r="R190" s="1153"/>
      <c r="S190" s="1153"/>
      <c r="T190" s="1153"/>
      <c r="U190" s="1154"/>
      <c r="V190" s="1145">
        <f>M190+E190</f>
        <v>0</v>
      </c>
    </row>
    <row r="191" spans="1:22" s="1166" customFormat="1" ht="93" hidden="1" customHeight="1" x14ac:dyDescent="0.25">
      <c r="A191" s="1159"/>
      <c r="B191" s="1158"/>
      <c r="C191" s="1210"/>
      <c r="D191" s="1160" t="s">
        <v>1106</v>
      </c>
      <c r="E191" s="1161"/>
      <c r="F191" s="1163"/>
      <c r="G191" s="1163"/>
      <c r="H191" s="1163"/>
      <c r="I191" s="1163"/>
      <c r="J191" s="1163"/>
      <c r="K191" s="1163"/>
      <c r="L191" s="1163"/>
      <c r="M191" s="1161">
        <f>T191</f>
        <v>0</v>
      </c>
      <c r="N191" s="1163">
        <f t="shared" si="58"/>
        <v>0</v>
      </c>
      <c r="O191" s="1163"/>
      <c r="P191" s="1163"/>
      <c r="Q191" s="1163"/>
      <c r="R191" s="1163"/>
      <c r="S191" s="1163"/>
      <c r="T191" s="1163"/>
      <c r="U191" s="1165"/>
      <c r="V191" s="1161">
        <f>M191+E191</f>
        <v>0</v>
      </c>
    </row>
    <row r="192" spans="1:22" ht="28.2" hidden="1" customHeight="1" x14ac:dyDescent="0.25">
      <c r="A192" s="1150" t="s">
        <v>1107</v>
      </c>
      <c r="B192" s="1169">
        <v>7670</v>
      </c>
      <c r="C192" s="1151" t="s">
        <v>1038</v>
      </c>
      <c r="D192" s="1211" t="s">
        <v>459</v>
      </c>
      <c r="E192" s="1145"/>
      <c r="F192" s="1153"/>
      <c r="G192" s="1153"/>
      <c r="H192" s="1153"/>
      <c r="I192" s="1153"/>
      <c r="J192" s="1153"/>
      <c r="K192" s="1153"/>
      <c r="L192" s="1153"/>
      <c r="M192" s="1145">
        <f t="shared" si="57"/>
        <v>0</v>
      </c>
      <c r="N192" s="1153">
        <f t="shared" si="58"/>
        <v>0</v>
      </c>
      <c r="O192" s="1153"/>
      <c r="P192" s="1153"/>
      <c r="Q192" s="1153"/>
      <c r="R192" s="1153"/>
      <c r="S192" s="1153"/>
      <c r="T192" s="1153"/>
      <c r="U192" s="1154"/>
      <c r="V192" s="1145">
        <f t="shared" ref="V192:V251" si="59">M192+E192</f>
        <v>0</v>
      </c>
    </row>
    <row r="193" spans="1:22" s="1166" customFormat="1" ht="127.2" hidden="1" customHeight="1" x14ac:dyDescent="0.25">
      <c r="A193" s="1159"/>
      <c r="B193" s="1158"/>
      <c r="C193" s="1168"/>
      <c r="D193" s="1212" t="s">
        <v>1069</v>
      </c>
      <c r="E193" s="1161"/>
      <c r="F193" s="1163"/>
      <c r="G193" s="1163"/>
      <c r="H193" s="1163"/>
      <c r="I193" s="1163"/>
      <c r="J193" s="1163"/>
      <c r="K193" s="1163"/>
      <c r="L193" s="1163"/>
      <c r="M193" s="1161">
        <f t="shared" si="57"/>
        <v>0</v>
      </c>
      <c r="N193" s="1163">
        <f t="shared" si="58"/>
        <v>0</v>
      </c>
      <c r="O193" s="1163"/>
      <c r="P193" s="1163"/>
      <c r="Q193" s="1163"/>
      <c r="R193" s="1163"/>
      <c r="S193" s="1163"/>
      <c r="T193" s="1163"/>
      <c r="U193" s="1165"/>
      <c r="V193" s="1161">
        <f t="shared" si="59"/>
        <v>0</v>
      </c>
    </row>
    <row r="194" spans="1:22" ht="34.5" hidden="1" customHeight="1" x14ac:dyDescent="0.25">
      <c r="A194" s="1150" t="s">
        <v>1108</v>
      </c>
      <c r="B194" s="1169">
        <v>8110</v>
      </c>
      <c r="C194" s="1191" t="s">
        <v>1109</v>
      </c>
      <c r="D194" s="1152" t="s">
        <v>469</v>
      </c>
      <c r="E194" s="1145">
        <f>F194</f>
        <v>0</v>
      </c>
      <c r="F194" s="1153">
        <f>SUM(G194:K194)</f>
        <v>0</v>
      </c>
      <c r="G194" s="1153"/>
      <c r="H194" s="1153"/>
      <c r="I194" s="1153"/>
      <c r="J194" s="1153"/>
      <c r="K194" s="1153"/>
      <c r="L194" s="1153"/>
      <c r="M194" s="1145">
        <f t="shared" si="57"/>
        <v>0</v>
      </c>
      <c r="N194" s="1153"/>
      <c r="O194" s="1153"/>
      <c r="P194" s="1153"/>
      <c r="Q194" s="1153"/>
      <c r="R194" s="1153"/>
      <c r="S194" s="1153"/>
      <c r="T194" s="1153"/>
      <c r="U194" s="1154"/>
      <c r="V194" s="1145">
        <f t="shared" si="59"/>
        <v>0</v>
      </c>
    </row>
    <row r="195" spans="1:22" s="1166" customFormat="1" ht="83.25" hidden="1" customHeight="1" x14ac:dyDescent="0.25">
      <c r="A195" s="1150"/>
      <c r="B195" s="1158"/>
      <c r="C195" s="1210"/>
      <c r="D195" s="1213" t="s">
        <v>1110</v>
      </c>
      <c r="E195" s="1161">
        <f>F195</f>
        <v>0</v>
      </c>
      <c r="F195" s="1163">
        <f>K195</f>
        <v>0</v>
      </c>
      <c r="G195" s="1163"/>
      <c r="H195" s="1163"/>
      <c r="I195" s="1163"/>
      <c r="J195" s="1163"/>
      <c r="K195" s="1163">
        <f>K194</f>
        <v>0</v>
      </c>
      <c r="L195" s="1163"/>
      <c r="M195" s="1145">
        <f t="shared" si="57"/>
        <v>0</v>
      </c>
      <c r="N195" s="1163"/>
      <c r="O195" s="1163"/>
      <c r="P195" s="1163"/>
      <c r="Q195" s="1163"/>
      <c r="R195" s="1163"/>
      <c r="S195" s="1163"/>
      <c r="T195" s="1163"/>
      <c r="U195" s="1165"/>
      <c r="V195" s="1161">
        <f t="shared" si="59"/>
        <v>0</v>
      </c>
    </row>
    <row r="196" spans="1:22" ht="15.6" hidden="1" x14ac:dyDescent="0.25">
      <c r="A196" s="1150" t="s">
        <v>1111</v>
      </c>
      <c r="B196" s="1169">
        <v>9770</v>
      </c>
      <c r="C196" s="1191" t="s">
        <v>275</v>
      </c>
      <c r="D196" s="1209" t="s">
        <v>236</v>
      </c>
      <c r="E196" s="1145">
        <f>F196</f>
        <v>0</v>
      </c>
      <c r="F196" s="1153">
        <f>K196</f>
        <v>0</v>
      </c>
      <c r="G196" s="1153"/>
      <c r="H196" s="1153"/>
      <c r="I196" s="1153"/>
      <c r="J196" s="1153"/>
      <c r="K196" s="1153"/>
      <c r="L196" s="1153"/>
      <c r="M196" s="1145">
        <f t="shared" si="57"/>
        <v>0</v>
      </c>
      <c r="N196" s="1153">
        <f>T196</f>
        <v>0</v>
      </c>
      <c r="O196" s="1153"/>
      <c r="P196" s="1153"/>
      <c r="Q196" s="1153"/>
      <c r="R196" s="1153"/>
      <c r="S196" s="1153"/>
      <c r="T196" s="1172"/>
      <c r="U196" s="1180"/>
      <c r="V196" s="1145">
        <f t="shared" si="59"/>
        <v>0</v>
      </c>
    </row>
    <row r="197" spans="1:22" s="1147" customFormat="1" ht="15.6" x14ac:dyDescent="0.25">
      <c r="A197" s="1142" t="s">
        <v>1112</v>
      </c>
      <c r="B197" s="1214"/>
      <c r="C197" s="1215"/>
      <c r="D197" s="1144" t="s">
        <v>1113</v>
      </c>
      <c r="E197" s="1216">
        <f>E198</f>
        <v>322284174</v>
      </c>
      <c r="F197" s="1216">
        <f>F198</f>
        <v>322284174</v>
      </c>
      <c r="G197" s="1216">
        <f t="shared" ref="G197:O197" si="60">G198</f>
        <v>113576364</v>
      </c>
      <c r="H197" s="1216">
        <f t="shared" si="60"/>
        <v>0</v>
      </c>
      <c r="I197" s="1216">
        <f t="shared" si="60"/>
        <v>2551462</v>
      </c>
      <c r="J197" s="1216">
        <f t="shared" si="60"/>
        <v>5497323</v>
      </c>
      <c r="K197" s="1216">
        <f t="shared" si="60"/>
        <v>200659025</v>
      </c>
      <c r="L197" s="1216">
        <f t="shared" si="60"/>
        <v>0</v>
      </c>
      <c r="M197" s="1216">
        <f>M198+M201</f>
        <v>969543</v>
      </c>
      <c r="N197" s="1216">
        <f t="shared" ref="N197:U197" si="61">N198</f>
        <v>0</v>
      </c>
      <c r="O197" s="1216">
        <f t="shared" si="60"/>
        <v>969543</v>
      </c>
      <c r="P197" s="1216">
        <f t="shared" si="61"/>
        <v>73524</v>
      </c>
      <c r="Q197" s="1216">
        <f t="shared" si="61"/>
        <v>18527</v>
      </c>
      <c r="R197" s="1216">
        <f t="shared" si="61"/>
        <v>9020</v>
      </c>
      <c r="S197" s="1216">
        <f t="shared" si="61"/>
        <v>512655</v>
      </c>
      <c r="T197" s="1216">
        <f t="shared" si="61"/>
        <v>0</v>
      </c>
      <c r="U197" s="1217">
        <f t="shared" si="61"/>
        <v>0</v>
      </c>
      <c r="V197" s="1145">
        <f>M197+E197</f>
        <v>323253717</v>
      </c>
    </row>
    <row r="198" spans="1:22" s="1147" customFormat="1" ht="15.6" x14ac:dyDescent="0.25">
      <c r="A198" s="1142" t="s">
        <v>1114</v>
      </c>
      <c r="B198" s="1214"/>
      <c r="C198" s="1215"/>
      <c r="D198" s="1144" t="s">
        <v>1115</v>
      </c>
      <c r="E198" s="1216">
        <f>E199+E203+E200</f>
        <v>322284174</v>
      </c>
      <c r="F198" s="1216">
        <f>F199+F203+F200</f>
        <v>322284174</v>
      </c>
      <c r="G198" s="1216">
        <f t="shared" ref="G198:L198" si="62">G199+G203+G200</f>
        <v>113576364</v>
      </c>
      <c r="H198" s="1216">
        <f t="shared" si="62"/>
        <v>0</v>
      </c>
      <c r="I198" s="1216">
        <f t="shared" si="62"/>
        <v>2551462</v>
      </c>
      <c r="J198" s="1216">
        <f>J199+J203+J200</f>
        <v>5497323</v>
      </c>
      <c r="K198" s="1216">
        <f t="shared" si="62"/>
        <v>200659025</v>
      </c>
      <c r="L198" s="1216">
        <f t="shared" si="62"/>
        <v>0</v>
      </c>
      <c r="M198" s="1216">
        <f>M199+M203+M200+M289+M293+M294+M291</f>
        <v>969543</v>
      </c>
      <c r="N198" s="1216">
        <f>N199+N203+N200+N289+N293+N294+N291+N273</f>
        <v>0</v>
      </c>
      <c r="O198" s="1216">
        <f>O199+O203+O200+O289+O293+O294+O291</f>
        <v>969543</v>
      </c>
      <c r="P198" s="1216">
        <f t="shared" ref="P198:U198" si="63">P199+P203+P200+P289+P293+P294+P291+P273</f>
        <v>73524</v>
      </c>
      <c r="Q198" s="1216">
        <f t="shared" si="63"/>
        <v>18527</v>
      </c>
      <c r="R198" s="1216">
        <f t="shared" si="63"/>
        <v>9020</v>
      </c>
      <c r="S198" s="1216">
        <f t="shared" si="63"/>
        <v>512655</v>
      </c>
      <c r="T198" s="1216">
        <f t="shared" si="63"/>
        <v>0</v>
      </c>
      <c r="U198" s="1216">
        <f t="shared" si="63"/>
        <v>0</v>
      </c>
      <c r="V198" s="1145">
        <f>M198+E198</f>
        <v>323253717</v>
      </c>
    </row>
    <row r="199" spans="1:22" ht="52.2" customHeight="1" x14ac:dyDescent="0.25">
      <c r="A199" s="1150" t="s">
        <v>1116</v>
      </c>
      <c r="B199" s="1151" t="s">
        <v>273</v>
      </c>
      <c r="C199" s="1151" t="s">
        <v>885</v>
      </c>
      <c r="D199" s="1152" t="s">
        <v>886</v>
      </c>
      <c r="E199" s="1145">
        <f>F199</f>
        <v>83955974</v>
      </c>
      <c r="F199" s="1153">
        <f>SUM(G199:K199)</f>
        <v>83955974</v>
      </c>
      <c r="G199" s="1153">
        <v>70361841</v>
      </c>
      <c r="H199" s="1181"/>
      <c r="I199" s="1181"/>
      <c r="J199" s="1153">
        <v>77200</v>
      </c>
      <c r="K199" s="1153">
        <f>83155974-70361841-77200+800000</f>
        <v>13516933</v>
      </c>
      <c r="L199" s="1181"/>
      <c r="M199" s="1145">
        <f>SUM(O199,T199)</f>
        <v>0</v>
      </c>
      <c r="N199" s="1153">
        <f>T199</f>
        <v>0</v>
      </c>
      <c r="O199" s="1181"/>
      <c r="P199" s="1181"/>
      <c r="Q199" s="1181"/>
      <c r="R199" s="1181"/>
      <c r="S199" s="1181"/>
      <c r="T199" s="1153"/>
      <c r="U199" s="1154"/>
      <c r="V199" s="1145">
        <f t="shared" si="59"/>
        <v>83955974</v>
      </c>
    </row>
    <row r="200" spans="1:22" ht="41.4" hidden="1" x14ac:dyDescent="0.25">
      <c r="A200" s="1150" t="s">
        <v>1117</v>
      </c>
      <c r="B200" s="1183" t="s">
        <v>1118</v>
      </c>
      <c r="C200" s="1183" t="s">
        <v>1119</v>
      </c>
      <c r="D200" s="1188" t="s">
        <v>1120</v>
      </c>
      <c r="E200" s="1145">
        <f>F200+L200</f>
        <v>0</v>
      </c>
      <c r="F200" s="1172">
        <f>SUM(G200:K200)</f>
        <v>0</v>
      </c>
      <c r="G200" s="1153"/>
      <c r="H200" s="1181"/>
      <c r="I200" s="1181"/>
      <c r="J200" s="1181"/>
      <c r="K200" s="1181"/>
      <c r="L200" s="1181"/>
      <c r="M200" s="1145">
        <f>SUM(O200,T200)</f>
        <v>0</v>
      </c>
      <c r="N200" s="1153"/>
      <c r="O200" s="1181"/>
      <c r="P200" s="1181"/>
      <c r="Q200" s="1181"/>
      <c r="R200" s="1181"/>
      <c r="S200" s="1181"/>
      <c r="T200" s="1153"/>
      <c r="U200" s="1192"/>
      <c r="V200" s="1145">
        <f t="shared" si="59"/>
        <v>0</v>
      </c>
    </row>
    <row r="201" spans="1:22" s="1166" customFormat="1" ht="16.2" hidden="1" x14ac:dyDescent="0.25">
      <c r="A201" s="1150"/>
      <c r="B201" s="1168"/>
      <c r="C201" s="1168"/>
      <c r="D201" s="1186" t="s">
        <v>1121</v>
      </c>
      <c r="E201" s="1145">
        <f>F201+L201</f>
        <v>0</v>
      </c>
      <c r="F201" s="1172"/>
      <c r="G201" s="1163"/>
      <c r="H201" s="1164"/>
      <c r="I201" s="1164"/>
      <c r="J201" s="1164"/>
      <c r="K201" s="1164"/>
      <c r="L201" s="1164"/>
      <c r="M201" s="1161"/>
      <c r="N201" s="1164"/>
      <c r="O201" s="1164"/>
      <c r="P201" s="1164"/>
      <c r="Q201" s="1164"/>
      <c r="R201" s="1164"/>
      <c r="S201" s="1164"/>
      <c r="T201" s="1164"/>
      <c r="U201" s="1206"/>
      <c r="V201" s="1145">
        <f t="shared" si="59"/>
        <v>0</v>
      </c>
    </row>
    <row r="202" spans="1:22" s="1166" customFormat="1" ht="41.4" hidden="1" x14ac:dyDescent="0.25">
      <c r="A202" s="1150"/>
      <c r="B202" s="1168"/>
      <c r="C202" s="1168"/>
      <c r="D202" s="1186" t="s">
        <v>1031</v>
      </c>
      <c r="E202" s="1145">
        <f>F202</f>
        <v>0</v>
      </c>
      <c r="F202" s="1172">
        <f>SUM(G202:K202)</f>
        <v>0</v>
      </c>
      <c r="G202" s="1163"/>
      <c r="H202" s="1164"/>
      <c r="I202" s="1164"/>
      <c r="J202" s="1164"/>
      <c r="K202" s="1163"/>
      <c r="L202" s="1164"/>
      <c r="M202" s="1161"/>
      <c r="N202" s="1164"/>
      <c r="O202" s="1164"/>
      <c r="P202" s="1164"/>
      <c r="Q202" s="1164"/>
      <c r="R202" s="1164"/>
      <c r="S202" s="1164"/>
      <c r="T202" s="1164"/>
      <c r="U202" s="1206"/>
      <c r="V202" s="1145">
        <f t="shared" si="59"/>
        <v>0</v>
      </c>
    </row>
    <row r="203" spans="1:22" ht="30.6" customHeight="1" x14ac:dyDescent="0.25">
      <c r="A203" s="1150" t="s">
        <v>887</v>
      </c>
      <c r="B203" s="1155">
        <v>3000</v>
      </c>
      <c r="C203" s="1150" t="s">
        <v>887</v>
      </c>
      <c r="D203" s="1156" t="s">
        <v>974</v>
      </c>
      <c r="E203" s="1145">
        <f>F203</f>
        <v>238328200</v>
      </c>
      <c r="F203" s="1157">
        <f t="shared" ref="F203:L203" si="64">F207+F212+F222+F239+F241+F259+F261+F263+F264+F265+F270+F271+F283+F285+F273+F256+F219+F218+F220+F221+F260</f>
        <v>238328200</v>
      </c>
      <c r="G203" s="1157">
        <f t="shared" si="64"/>
        <v>43214523</v>
      </c>
      <c r="H203" s="1157">
        <f t="shared" si="64"/>
        <v>0</v>
      </c>
      <c r="I203" s="1157">
        <f t="shared" si="64"/>
        <v>2551462</v>
      </c>
      <c r="J203" s="1157">
        <f t="shared" si="64"/>
        <v>5420123</v>
      </c>
      <c r="K203" s="1157">
        <f t="shared" si="64"/>
        <v>187142092</v>
      </c>
      <c r="L203" s="1157">
        <f t="shared" si="64"/>
        <v>0</v>
      </c>
      <c r="M203" s="1145">
        <f>O203+T203</f>
        <v>969543</v>
      </c>
      <c r="N203" s="1157">
        <f>N217+N239+N259+N261+N263+N264+N270+N271+N285+N275+N277+N279+N281+N260+N283+N295</f>
        <v>0</v>
      </c>
      <c r="O203" s="1157">
        <f>O217+O239+O259+O261+O263+O264+O270+O271+O285+O275+O260+O273</f>
        <v>969543</v>
      </c>
      <c r="P203" s="1157">
        <f>P217+P239+P259+P261+P263+P264+P270+P271+P285+P275+P260</f>
        <v>73524</v>
      </c>
      <c r="Q203" s="1157">
        <f>Q217+Q239+Q259+Q261+Q263+Q264+Q270+Q271+Q285+Q275+Q260</f>
        <v>18527</v>
      </c>
      <c r="R203" s="1157">
        <f>R217+R239+R259+R261+R263+R264+R270+R271+R285+R275+R260</f>
        <v>9020</v>
      </c>
      <c r="S203" s="1157">
        <f>S217+S239+S259+S261+S263+S264+S270+S271+S285+S275+S260</f>
        <v>512655</v>
      </c>
      <c r="T203" s="1157">
        <f>T217+T239+T259+T261+T263+T264+T270+T271+T285+T275+T277+T279+T281+T260+T283+T295</f>
        <v>0</v>
      </c>
      <c r="U203" s="1193">
        <f>U217+U239+U259+U261+U263+U264+U270+U271+U285+U275+U277+U279+U281+U260+U283+U295</f>
        <v>0</v>
      </c>
      <c r="V203" s="1145">
        <f>M203+E203</f>
        <v>239297743</v>
      </c>
    </row>
    <row r="204" spans="1:22" s="1166" customFormat="1" ht="16.2" hidden="1" x14ac:dyDescent="0.25">
      <c r="A204" s="1150"/>
      <c r="B204" s="1186"/>
      <c r="C204" s="1168"/>
      <c r="D204" s="1218" t="s">
        <v>1122</v>
      </c>
      <c r="E204" s="1161">
        <f>F204+L204</f>
        <v>0</v>
      </c>
      <c r="F204" s="1162">
        <f>SUM(G204:K204)</f>
        <v>0</v>
      </c>
      <c r="G204" s="1172">
        <f>G207+G212+G222+G241+G283</f>
        <v>0</v>
      </c>
      <c r="H204" s="1172">
        <f>H207+H212+H222+H241+H283</f>
        <v>0</v>
      </c>
      <c r="I204" s="1172"/>
      <c r="J204" s="1162"/>
      <c r="K204" s="1172"/>
      <c r="L204" s="1162"/>
      <c r="M204" s="1145">
        <f>O204+T204</f>
        <v>0</v>
      </c>
      <c r="N204" s="1162"/>
      <c r="O204" s="1162">
        <f>O276+O278+O280+O282</f>
        <v>0</v>
      </c>
      <c r="P204" s="1162">
        <f>P276+P278+P280+P282</f>
        <v>0</v>
      </c>
      <c r="Q204" s="1162">
        <f>Q276+Q278+Q280+Q282</f>
        <v>0</v>
      </c>
      <c r="R204" s="1162">
        <f>R276+R278+R280+R282</f>
        <v>0</v>
      </c>
      <c r="S204" s="1162">
        <f>S276+S278+S280+S282</f>
        <v>0</v>
      </c>
      <c r="T204" s="1162">
        <f>T296</f>
        <v>0</v>
      </c>
      <c r="U204" s="1162">
        <f>U296</f>
        <v>0</v>
      </c>
      <c r="V204" s="1161">
        <f t="shared" si="59"/>
        <v>0</v>
      </c>
    </row>
    <row r="205" spans="1:22" s="1166" customFormat="1" ht="16.2" hidden="1" x14ac:dyDescent="0.25">
      <c r="A205" s="1150"/>
      <c r="B205" s="1219"/>
      <c r="C205" s="1168"/>
      <c r="D205" s="1218" t="s">
        <v>890</v>
      </c>
      <c r="E205" s="1161">
        <f>F205</f>
        <v>0</v>
      </c>
      <c r="F205" s="1162">
        <f>SUM(G205:K205)</f>
        <v>0</v>
      </c>
      <c r="G205" s="1172"/>
      <c r="H205" s="1172"/>
      <c r="I205" s="1172"/>
      <c r="J205" s="1162">
        <f>J262</f>
        <v>0</v>
      </c>
      <c r="K205" s="1172"/>
      <c r="L205" s="1162"/>
      <c r="M205" s="1145"/>
      <c r="N205" s="1162"/>
      <c r="O205" s="1162"/>
      <c r="P205" s="1162"/>
      <c r="Q205" s="1162"/>
      <c r="R205" s="1162"/>
      <c r="S205" s="1162"/>
      <c r="T205" s="1162"/>
      <c r="U205" s="1162"/>
      <c r="V205" s="1161">
        <f t="shared" si="59"/>
        <v>0</v>
      </c>
    </row>
    <row r="206" spans="1:22" s="1166" customFormat="1" ht="16.2" hidden="1" x14ac:dyDescent="0.25">
      <c r="A206" s="1150"/>
      <c r="B206" s="1220"/>
      <c r="C206" s="1168"/>
      <c r="D206" s="1186" t="s">
        <v>1102</v>
      </c>
      <c r="E206" s="1161">
        <f>F206+L206</f>
        <v>0</v>
      </c>
      <c r="F206" s="1162">
        <f t="shared" ref="F206:K206" si="65">F257+F267+F269+F287+F240</f>
        <v>0</v>
      </c>
      <c r="G206" s="1162">
        <f t="shared" si="65"/>
        <v>0</v>
      </c>
      <c r="H206" s="1162">
        <f t="shared" si="65"/>
        <v>0</v>
      </c>
      <c r="I206" s="1162">
        <f t="shared" si="65"/>
        <v>0</v>
      </c>
      <c r="J206" s="1162">
        <f t="shared" si="65"/>
        <v>0</v>
      </c>
      <c r="K206" s="1162">
        <f t="shared" si="65"/>
        <v>0</v>
      </c>
      <c r="L206" s="1162"/>
      <c r="M206" s="1161">
        <f>T206</f>
        <v>0</v>
      </c>
      <c r="N206" s="1162">
        <f>T206</f>
        <v>0</v>
      </c>
      <c r="O206" s="1162"/>
      <c r="P206" s="1162"/>
      <c r="Q206" s="1162"/>
      <c r="R206" s="1162"/>
      <c r="S206" s="1162"/>
      <c r="T206" s="1162">
        <f>T275+T277+T279</f>
        <v>0</v>
      </c>
      <c r="U206" s="1167"/>
      <c r="V206" s="1161">
        <f t="shared" si="59"/>
        <v>0</v>
      </c>
    </row>
    <row r="207" spans="1:22" s="1166" customFormat="1" ht="69" hidden="1" x14ac:dyDescent="0.25">
      <c r="A207" s="1150" t="s">
        <v>1123</v>
      </c>
      <c r="B207" s="1221">
        <v>3010</v>
      </c>
      <c r="C207" s="1222"/>
      <c r="D207" s="1223" t="s">
        <v>1124</v>
      </c>
      <c r="E207" s="1145">
        <f t="shared" ref="E207:E270" si="66">F207+L207</f>
        <v>0</v>
      </c>
      <c r="F207" s="1172">
        <f>F208+F210</f>
        <v>0</v>
      </c>
      <c r="G207" s="1162"/>
      <c r="H207" s="1162"/>
      <c r="I207" s="1162"/>
      <c r="J207" s="1162"/>
      <c r="K207" s="1162">
        <f>K208+K210</f>
        <v>0</v>
      </c>
      <c r="L207" s="1162"/>
      <c r="M207" s="1161"/>
      <c r="N207" s="1162"/>
      <c r="O207" s="1162"/>
      <c r="P207" s="1162"/>
      <c r="Q207" s="1162"/>
      <c r="R207" s="1162"/>
      <c r="S207" s="1162"/>
      <c r="T207" s="1162"/>
      <c r="U207" s="1167"/>
      <c r="V207" s="1145">
        <f t="shared" si="59"/>
        <v>0</v>
      </c>
    </row>
    <row r="208" spans="1:22" ht="41.4" hidden="1" x14ac:dyDescent="0.25">
      <c r="A208" s="1159" t="s">
        <v>1125</v>
      </c>
      <c r="B208" s="1221">
        <v>3011</v>
      </c>
      <c r="C208" s="1224" t="s">
        <v>1126</v>
      </c>
      <c r="D208" s="1225" t="s">
        <v>1127</v>
      </c>
      <c r="E208" s="1145">
        <f t="shared" si="66"/>
        <v>0</v>
      </c>
      <c r="F208" s="1172">
        <f>SUM(G208:K208)</f>
        <v>0</v>
      </c>
      <c r="G208" s="1153"/>
      <c r="H208" s="1153"/>
      <c r="I208" s="1153"/>
      <c r="J208" s="1153"/>
      <c r="K208" s="1153"/>
      <c r="L208" s="1153"/>
      <c r="M208" s="1145"/>
      <c r="N208" s="1153"/>
      <c r="O208" s="1153"/>
      <c r="P208" s="1153"/>
      <c r="Q208" s="1153"/>
      <c r="R208" s="1153"/>
      <c r="S208" s="1153"/>
      <c r="T208" s="1153"/>
      <c r="U208" s="1154"/>
      <c r="V208" s="1145">
        <f t="shared" si="59"/>
        <v>0</v>
      </c>
    </row>
    <row r="209" spans="1:22" s="1166" customFormat="1" ht="16.2" hidden="1" x14ac:dyDescent="0.25">
      <c r="A209" s="1150"/>
      <c r="B209" s="1158"/>
      <c r="C209" s="1226"/>
      <c r="D209" s="1227" t="s">
        <v>1128</v>
      </c>
      <c r="E209" s="1145">
        <f t="shared" si="66"/>
        <v>0</v>
      </c>
      <c r="F209" s="1172">
        <f>SUM(G209:K209)</f>
        <v>0</v>
      </c>
      <c r="G209" s="1163"/>
      <c r="H209" s="1163"/>
      <c r="I209" s="1163"/>
      <c r="J209" s="1163"/>
      <c r="K209" s="1163"/>
      <c r="L209" s="1163"/>
      <c r="M209" s="1161"/>
      <c r="N209" s="1163"/>
      <c r="O209" s="1163"/>
      <c r="P209" s="1163"/>
      <c r="Q209" s="1163"/>
      <c r="R209" s="1163"/>
      <c r="S209" s="1163"/>
      <c r="T209" s="1163"/>
      <c r="U209" s="1165"/>
      <c r="V209" s="1145">
        <f t="shared" si="59"/>
        <v>0</v>
      </c>
    </row>
    <row r="210" spans="1:22" ht="27.6" hidden="1" x14ac:dyDescent="0.25">
      <c r="A210" s="1159" t="s">
        <v>1129</v>
      </c>
      <c r="B210" s="1169">
        <v>3012</v>
      </c>
      <c r="C210" s="1228">
        <v>1060</v>
      </c>
      <c r="D210" s="1208" t="s">
        <v>1130</v>
      </c>
      <c r="E210" s="1145">
        <f t="shared" si="66"/>
        <v>0</v>
      </c>
      <c r="F210" s="1172">
        <f>SUM(G210:K210)</f>
        <v>0</v>
      </c>
      <c r="G210" s="1153"/>
      <c r="H210" s="1153"/>
      <c r="I210" s="1153"/>
      <c r="J210" s="1153"/>
      <c r="K210" s="1153"/>
      <c r="L210" s="1153"/>
      <c r="M210" s="1145"/>
      <c r="N210" s="1153"/>
      <c r="O210" s="1153"/>
      <c r="P210" s="1153"/>
      <c r="Q210" s="1153"/>
      <c r="R210" s="1153"/>
      <c r="S210" s="1153"/>
      <c r="T210" s="1153"/>
      <c r="U210" s="1154"/>
      <c r="V210" s="1145">
        <f t="shared" si="59"/>
        <v>0</v>
      </c>
    </row>
    <row r="211" spans="1:22" s="1166" customFormat="1" ht="16.2" hidden="1" x14ac:dyDescent="0.25">
      <c r="A211" s="1150"/>
      <c r="B211" s="1158"/>
      <c r="C211" s="1226"/>
      <c r="D211" s="1186" t="s">
        <v>1128</v>
      </c>
      <c r="E211" s="1145">
        <f t="shared" si="66"/>
        <v>0</v>
      </c>
      <c r="F211" s="1172">
        <f>SUM(G211:K211)</f>
        <v>0</v>
      </c>
      <c r="G211" s="1163"/>
      <c r="H211" s="1163"/>
      <c r="I211" s="1163"/>
      <c r="J211" s="1163"/>
      <c r="K211" s="1163">
        <f>K210</f>
        <v>0</v>
      </c>
      <c r="L211" s="1163"/>
      <c r="M211" s="1161"/>
      <c r="N211" s="1163"/>
      <c r="O211" s="1163"/>
      <c r="P211" s="1163"/>
      <c r="Q211" s="1163"/>
      <c r="R211" s="1163"/>
      <c r="S211" s="1163"/>
      <c r="T211" s="1163"/>
      <c r="U211" s="1165"/>
      <c r="V211" s="1145">
        <f t="shared" si="59"/>
        <v>0</v>
      </c>
    </row>
    <row r="212" spans="1:22" s="1166" customFormat="1" ht="41.4" hidden="1" x14ac:dyDescent="0.25">
      <c r="A212" s="1150" t="s">
        <v>1131</v>
      </c>
      <c r="B212" s="1169">
        <v>3020</v>
      </c>
      <c r="C212" s="1229"/>
      <c r="D212" s="1230" t="s">
        <v>1132</v>
      </c>
      <c r="E212" s="1145">
        <f t="shared" si="66"/>
        <v>0</v>
      </c>
      <c r="F212" s="1172">
        <f>F213+F215</f>
        <v>0</v>
      </c>
      <c r="G212" s="1163"/>
      <c r="H212" s="1163"/>
      <c r="I212" s="1163"/>
      <c r="J212" s="1163"/>
      <c r="K212" s="1153">
        <f>K213+K215</f>
        <v>0</v>
      </c>
      <c r="L212" s="1163"/>
      <c r="M212" s="1161"/>
      <c r="N212" s="1163"/>
      <c r="O212" s="1163"/>
      <c r="P212" s="1163"/>
      <c r="Q212" s="1163"/>
      <c r="R212" s="1163"/>
      <c r="S212" s="1163"/>
      <c r="T212" s="1163"/>
      <c r="U212" s="1165"/>
      <c r="V212" s="1145">
        <f t="shared" si="59"/>
        <v>0</v>
      </c>
    </row>
    <row r="213" spans="1:22" ht="41.4" hidden="1" x14ac:dyDescent="0.25">
      <c r="A213" s="1159" t="s">
        <v>1133</v>
      </c>
      <c r="B213" s="1169">
        <v>3021</v>
      </c>
      <c r="C213" s="1231">
        <v>1030</v>
      </c>
      <c r="D213" s="1232" t="s">
        <v>1134</v>
      </c>
      <c r="E213" s="1145">
        <f t="shared" si="66"/>
        <v>0</v>
      </c>
      <c r="F213" s="1172">
        <f>SUM(G213:K213)</f>
        <v>0</v>
      </c>
      <c r="G213" s="1153"/>
      <c r="H213" s="1153"/>
      <c r="I213" s="1153"/>
      <c r="J213" s="1153"/>
      <c r="K213" s="1153"/>
      <c r="L213" s="1153"/>
      <c r="M213" s="1145"/>
      <c r="N213" s="1153"/>
      <c r="O213" s="1153"/>
      <c r="P213" s="1153"/>
      <c r="Q213" s="1153"/>
      <c r="R213" s="1153"/>
      <c r="S213" s="1153"/>
      <c r="T213" s="1153"/>
      <c r="U213" s="1154"/>
      <c r="V213" s="1145">
        <f t="shared" si="59"/>
        <v>0</v>
      </c>
    </row>
    <row r="214" spans="1:22" s="1166" customFormat="1" ht="16.2" hidden="1" x14ac:dyDescent="0.25">
      <c r="A214" s="1150"/>
      <c r="B214" s="1158"/>
      <c r="C214" s="1226"/>
      <c r="D214" s="1227" t="s">
        <v>1128</v>
      </c>
      <c r="E214" s="1145">
        <f t="shared" si="66"/>
        <v>0</v>
      </c>
      <c r="F214" s="1172">
        <f>SUM(G214:K214)</f>
        <v>0</v>
      </c>
      <c r="G214" s="1163"/>
      <c r="H214" s="1163"/>
      <c r="I214" s="1163"/>
      <c r="J214" s="1163"/>
      <c r="K214" s="1163">
        <f>K213</f>
        <v>0</v>
      </c>
      <c r="L214" s="1163"/>
      <c r="M214" s="1161"/>
      <c r="N214" s="1163"/>
      <c r="O214" s="1163"/>
      <c r="P214" s="1163"/>
      <c r="Q214" s="1163"/>
      <c r="R214" s="1163"/>
      <c r="S214" s="1163"/>
      <c r="T214" s="1163"/>
      <c r="U214" s="1165"/>
      <c r="V214" s="1145">
        <f t="shared" si="59"/>
        <v>0</v>
      </c>
    </row>
    <row r="215" spans="1:22" ht="41.4" hidden="1" x14ac:dyDescent="0.25">
      <c r="A215" s="1159" t="s">
        <v>1135</v>
      </c>
      <c r="B215" s="1169">
        <v>3022</v>
      </c>
      <c r="C215" s="1228">
        <v>1060</v>
      </c>
      <c r="D215" s="1218" t="s">
        <v>1136</v>
      </c>
      <c r="E215" s="1145">
        <f t="shared" si="66"/>
        <v>0</v>
      </c>
      <c r="F215" s="1172">
        <f>SUM(G215:K215)</f>
        <v>0</v>
      </c>
      <c r="G215" s="1153"/>
      <c r="H215" s="1153"/>
      <c r="I215" s="1153"/>
      <c r="J215" s="1153"/>
      <c r="K215" s="1153"/>
      <c r="L215" s="1153"/>
      <c r="M215" s="1145"/>
      <c r="N215" s="1153"/>
      <c r="O215" s="1153"/>
      <c r="P215" s="1153"/>
      <c r="Q215" s="1153"/>
      <c r="R215" s="1153"/>
      <c r="S215" s="1153"/>
      <c r="T215" s="1153"/>
      <c r="U215" s="1154"/>
      <c r="V215" s="1145">
        <f t="shared" si="59"/>
        <v>0</v>
      </c>
    </row>
    <row r="216" spans="1:22" s="1166" customFormat="1" ht="15.6" hidden="1" x14ac:dyDescent="0.25">
      <c r="A216" s="1150"/>
      <c r="B216" s="1158"/>
      <c r="C216" s="1233"/>
      <c r="D216" s="1186" t="s">
        <v>1137</v>
      </c>
      <c r="E216" s="1145">
        <f t="shared" si="66"/>
        <v>0</v>
      </c>
      <c r="F216" s="1172">
        <f>SUM(G216:K216)</f>
        <v>0</v>
      </c>
      <c r="G216" s="1163"/>
      <c r="H216" s="1163"/>
      <c r="I216" s="1163"/>
      <c r="J216" s="1163"/>
      <c r="K216" s="1163">
        <f>K215</f>
        <v>0</v>
      </c>
      <c r="L216" s="1163"/>
      <c r="M216" s="1204"/>
      <c r="N216" s="1163"/>
      <c r="O216" s="1163"/>
      <c r="P216" s="1163"/>
      <c r="Q216" s="1163"/>
      <c r="R216" s="1163"/>
      <c r="S216" s="1163"/>
      <c r="T216" s="1163"/>
      <c r="U216" s="1165"/>
      <c r="V216" s="1145">
        <f t="shared" si="59"/>
        <v>0</v>
      </c>
    </row>
    <row r="217" spans="1:22" ht="55.2" hidden="1" x14ac:dyDescent="0.25">
      <c r="A217" s="1150" t="s">
        <v>1138</v>
      </c>
      <c r="B217" s="1169">
        <v>3030</v>
      </c>
      <c r="C217" s="1228"/>
      <c r="D217" s="1234" t="s">
        <v>1139</v>
      </c>
      <c r="E217" s="1145">
        <f t="shared" si="66"/>
        <v>0</v>
      </c>
      <c r="F217" s="1172">
        <f>SUM(G217:K217)</f>
        <v>0</v>
      </c>
      <c r="G217" s="1172">
        <f t="shared" ref="G217:L217" si="67">G218</f>
        <v>0</v>
      </c>
      <c r="H217" s="1172">
        <f t="shared" si="67"/>
        <v>0</v>
      </c>
      <c r="I217" s="1172">
        <f t="shared" si="67"/>
        <v>0</v>
      </c>
      <c r="J217" s="1172">
        <f t="shared" si="67"/>
        <v>0</v>
      </c>
      <c r="K217" s="1172"/>
      <c r="L217" s="1172">
        <f t="shared" si="67"/>
        <v>0</v>
      </c>
      <c r="M217" s="1145"/>
      <c r="N217" s="1153"/>
      <c r="O217" s="1153"/>
      <c r="P217" s="1153"/>
      <c r="Q217" s="1153"/>
      <c r="R217" s="1153"/>
      <c r="S217" s="1153"/>
      <c r="T217" s="1153"/>
      <c r="U217" s="1154"/>
      <c r="V217" s="1145">
        <f t="shared" si="59"/>
        <v>0</v>
      </c>
    </row>
    <row r="218" spans="1:22" s="1166" customFormat="1" ht="45" customHeight="1" x14ac:dyDescent="0.25">
      <c r="A218" s="1150" t="s">
        <v>1140</v>
      </c>
      <c r="B218" s="1169">
        <v>3031</v>
      </c>
      <c r="C218" s="1228" t="s">
        <v>1141</v>
      </c>
      <c r="D218" s="1235" t="s">
        <v>286</v>
      </c>
      <c r="E218" s="1145">
        <f t="shared" si="66"/>
        <v>171800</v>
      </c>
      <c r="F218" s="1172">
        <f t="shared" ref="F218:F239" si="68">SUM(G218:K218)</f>
        <v>171800</v>
      </c>
      <c r="G218" s="1153"/>
      <c r="H218" s="1153"/>
      <c r="I218" s="1153"/>
      <c r="J218" s="1153"/>
      <c r="K218" s="1153">
        <v>171800</v>
      </c>
      <c r="L218" s="1163"/>
      <c r="M218" s="1161"/>
      <c r="N218" s="1163"/>
      <c r="O218" s="1163"/>
      <c r="P218" s="1163"/>
      <c r="Q218" s="1163"/>
      <c r="R218" s="1163"/>
      <c r="S218" s="1163"/>
      <c r="T218" s="1163"/>
      <c r="U218" s="1165"/>
      <c r="V218" s="1145">
        <f t="shared" si="59"/>
        <v>171800</v>
      </c>
    </row>
    <row r="219" spans="1:22" s="1166" customFormat="1" ht="29.4" customHeight="1" x14ac:dyDescent="0.25">
      <c r="A219" s="1150" t="s">
        <v>1142</v>
      </c>
      <c r="B219" s="1158">
        <v>3032</v>
      </c>
      <c r="C219" s="1236" t="s">
        <v>980</v>
      </c>
      <c r="D219" s="1234" t="s">
        <v>1143</v>
      </c>
      <c r="E219" s="1145">
        <f t="shared" si="66"/>
        <v>1035144</v>
      </c>
      <c r="F219" s="1172">
        <f t="shared" si="68"/>
        <v>1035144</v>
      </c>
      <c r="G219" s="1163"/>
      <c r="H219" s="1163"/>
      <c r="I219" s="1163"/>
      <c r="J219" s="1163"/>
      <c r="K219" s="1153">
        <v>1035144</v>
      </c>
      <c r="L219" s="1163"/>
      <c r="M219" s="1161"/>
      <c r="N219" s="1163"/>
      <c r="O219" s="1163"/>
      <c r="P219" s="1163"/>
      <c r="Q219" s="1163"/>
      <c r="R219" s="1163"/>
      <c r="S219" s="1163"/>
      <c r="T219" s="1163"/>
      <c r="U219" s="1165"/>
      <c r="V219" s="1145">
        <f t="shared" si="59"/>
        <v>1035144</v>
      </c>
    </row>
    <row r="220" spans="1:22" s="1166" customFormat="1" ht="45" hidden="1" customHeight="1" x14ac:dyDescent="0.25">
      <c r="A220" s="1150" t="s">
        <v>1144</v>
      </c>
      <c r="B220" s="1158">
        <v>3035</v>
      </c>
      <c r="C220" s="1236" t="s">
        <v>980</v>
      </c>
      <c r="D220" s="1234" t="s">
        <v>290</v>
      </c>
      <c r="E220" s="1145">
        <f t="shared" si="66"/>
        <v>0</v>
      </c>
      <c r="F220" s="1172">
        <f t="shared" si="68"/>
        <v>0</v>
      </c>
      <c r="G220" s="1163"/>
      <c r="H220" s="1163"/>
      <c r="I220" s="1163"/>
      <c r="J220" s="1163"/>
      <c r="K220" s="1153"/>
      <c r="L220" s="1163"/>
      <c r="M220" s="1161"/>
      <c r="N220" s="1163"/>
      <c r="O220" s="1163"/>
      <c r="P220" s="1163"/>
      <c r="Q220" s="1163"/>
      <c r="R220" s="1163"/>
      <c r="S220" s="1163"/>
      <c r="T220" s="1163"/>
      <c r="U220" s="1165"/>
      <c r="V220" s="1145">
        <f t="shared" si="59"/>
        <v>0</v>
      </c>
    </row>
    <row r="221" spans="1:22" s="1166" customFormat="1" ht="27.6" hidden="1" x14ac:dyDescent="0.25">
      <c r="A221" s="1150" t="s">
        <v>1145</v>
      </c>
      <c r="B221" s="1158">
        <v>3036</v>
      </c>
      <c r="C221" s="1236" t="s">
        <v>980</v>
      </c>
      <c r="D221" s="1234" t="s">
        <v>292</v>
      </c>
      <c r="E221" s="1145">
        <f t="shared" si="66"/>
        <v>0</v>
      </c>
      <c r="F221" s="1172">
        <f t="shared" si="68"/>
        <v>0</v>
      </c>
      <c r="G221" s="1163"/>
      <c r="H221" s="1163"/>
      <c r="I221" s="1163"/>
      <c r="J221" s="1163"/>
      <c r="K221" s="1153"/>
      <c r="L221" s="1163"/>
      <c r="M221" s="1161"/>
      <c r="N221" s="1163"/>
      <c r="O221" s="1163"/>
      <c r="P221" s="1163"/>
      <c r="Q221" s="1163"/>
      <c r="R221" s="1163"/>
      <c r="S221" s="1163"/>
      <c r="T221" s="1163"/>
      <c r="U221" s="1165"/>
      <c r="V221" s="1145">
        <f t="shared" si="59"/>
        <v>0</v>
      </c>
    </row>
    <row r="222" spans="1:22" s="1166" customFormat="1" ht="27.6" hidden="1" x14ac:dyDescent="0.25">
      <c r="A222" s="1150" t="s">
        <v>1146</v>
      </c>
      <c r="B222" s="1169">
        <v>3040</v>
      </c>
      <c r="C222" s="1237"/>
      <c r="D222" s="1230" t="s">
        <v>1147</v>
      </c>
      <c r="E222" s="1145">
        <f t="shared" si="66"/>
        <v>0</v>
      </c>
      <c r="F222" s="1172">
        <f t="shared" si="68"/>
        <v>0</v>
      </c>
      <c r="G222" s="1163"/>
      <c r="H222" s="1163"/>
      <c r="I222" s="1163"/>
      <c r="J222" s="1163"/>
      <c r="K222" s="1163"/>
      <c r="L222" s="1163"/>
      <c r="M222" s="1161"/>
      <c r="N222" s="1163"/>
      <c r="O222" s="1163"/>
      <c r="P222" s="1163"/>
      <c r="Q222" s="1163"/>
      <c r="R222" s="1163"/>
      <c r="S222" s="1163"/>
      <c r="T222" s="1163"/>
      <c r="U222" s="1165"/>
      <c r="V222" s="1145">
        <f t="shared" si="59"/>
        <v>0</v>
      </c>
    </row>
    <row r="223" spans="1:22" ht="29.85" hidden="1" customHeight="1" x14ac:dyDescent="0.25">
      <c r="A223" s="1159" t="s">
        <v>1148</v>
      </c>
      <c r="B223" s="1158">
        <v>3041</v>
      </c>
      <c r="C223" s="1226" t="s">
        <v>1149</v>
      </c>
      <c r="D223" s="1232" t="s">
        <v>1150</v>
      </c>
      <c r="E223" s="1145">
        <f t="shared" si="66"/>
        <v>0</v>
      </c>
      <c r="F223" s="1172">
        <f t="shared" si="68"/>
        <v>0</v>
      </c>
      <c r="G223" s="1153"/>
      <c r="H223" s="1153"/>
      <c r="I223" s="1153"/>
      <c r="J223" s="1153"/>
      <c r="K223" s="1153"/>
      <c r="L223" s="1153"/>
      <c r="M223" s="1145"/>
      <c r="N223" s="1153"/>
      <c r="O223" s="1153"/>
      <c r="P223" s="1153"/>
      <c r="Q223" s="1153"/>
      <c r="R223" s="1153"/>
      <c r="S223" s="1153"/>
      <c r="T223" s="1153"/>
      <c r="U223" s="1154"/>
      <c r="V223" s="1145">
        <f t="shared" si="59"/>
        <v>0</v>
      </c>
    </row>
    <row r="224" spans="1:22" s="1166" customFormat="1" ht="16.2" hidden="1" x14ac:dyDescent="0.25">
      <c r="A224" s="1150"/>
      <c r="B224" s="1158"/>
      <c r="C224" s="1226"/>
      <c r="D224" s="1186" t="s">
        <v>1128</v>
      </c>
      <c r="E224" s="1145">
        <f t="shared" si="66"/>
        <v>0</v>
      </c>
      <c r="F224" s="1172">
        <f t="shared" si="68"/>
        <v>0</v>
      </c>
      <c r="G224" s="1163"/>
      <c r="H224" s="1163"/>
      <c r="I224" s="1163"/>
      <c r="J224" s="1163"/>
      <c r="K224" s="1163"/>
      <c r="L224" s="1163"/>
      <c r="M224" s="1161"/>
      <c r="N224" s="1163"/>
      <c r="O224" s="1163"/>
      <c r="P224" s="1163"/>
      <c r="Q224" s="1163"/>
      <c r="R224" s="1163"/>
      <c r="S224" s="1163"/>
      <c r="T224" s="1163"/>
      <c r="U224" s="1165"/>
      <c r="V224" s="1145">
        <f t="shared" si="59"/>
        <v>0</v>
      </c>
    </row>
    <row r="225" spans="1:22" ht="15.6" hidden="1" x14ac:dyDescent="0.25">
      <c r="A225" s="1159" t="s">
        <v>1151</v>
      </c>
      <c r="B225" s="1158">
        <v>3042</v>
      </c>
      <c r="C225" s="1226" t="s">
        <v>1149</v>
      </c>
      <c r="D225" s="1208" t="s">
        <v>1152</v>
      </c>
      <c r="E225" s="1145">
        <f t="shared" si="66"/>
        <v>0</v>
      </c>
      <c r="F225" s="1172">
        <f t="shared" si="68"/>
        <v>0</v>
      </c>
      <c r="G225" s="1153"/>
      <c r="H225" s="1153"/>
      <c r="I225" s="1153"/>
      <c r="J225" s="1153"/>
      <c r="K225" s="1153"/>
      <c r="L225" s="1153"/>
      <c r="M225" s="1145"/>
      <c r="N225" s="1153"/>
      <c r="O225" s="1153"/>
      <c r="P225" s="1153"/>
      <c r="Q225" s="1153"/>
      <c r="R225" s="1153"/>
      <c r="S225" s="1153"/>
      <c r="T225" s="1153"/>
      <c r="U225" s="1154"/>
      <c r="V225" s="1145">
        <f t="shared" si="59"/>
        <v>0</v>
      </c>
    </row>
    <row r="226" spans="1:22" s="1166" customFormat="1" ht="32.25" hidden="1" customHeight="1" x14ac:dyDescent="0.25">
      <c r="A226" s="1150"/>
      <c r="B226" s="1158"/>
      <c r="C226" s="1233"/>
      <c r="D226" s="1186" t="s">
        <v>1128</v>
      </c>
      <c r="E226" s="1145">
        <f t="shared" si="66"/>
        <v>0</v>
      </c>
      <c r="F226" s="1172">
        <f t="shared" si="68"/>
        <v>0</v>
      </c>
      <c r="G226" s="1163"/>
      <c r="H226" s="1163"/>
      <c r="I226" s="1163"/>
      <c r="J226" s="1163"/>
      <c r="K226" s="1163"/>
      <c r="L226" s="1163"/>
      <c r="M226" s="1161"/>
      <c r="N226" s="1163"/>
      <c r="O226" s="1163"/>
      <c r="P226" s="1163"/>
      <c r="Q226" s="1163"/>
      <c r="R226" s="1163"/>
      <c r="S226" s="1163"/>
      <c r="T226" s="1163"/>
      <c r="U226" s="1165"/>
      <c r="V226" s="1145">
        <f t="shared" si="59"/>
        <v>0</v>
      </c>
    </row>
    <row r="227" spans="1:22" ht="15.6" hidden="1" x14ac:dyDescent="0.25">
      <c r="A227" s="1159" t="s">
        <v>1153</v>
      </c>
      <c r="B227" s="1169">
        <v>3043</v>
      </c>
      <c r="C227" s="1228" t="s">
        <v>1149</v>
      </c>
      <c r="D227" s="1208" t="s">
        <v>1154</v>
      </c>
      <c r="E227" s="1145">
        <f t="shared" si="66"/>
        <v>0</v>
      </c>
      <c r="F227" s="1172">
        <f t="shared" si="68"/>
        <v>0</v>
      </c>
      <c r="G227" s="1153"/>
      <c r="H227" s="1153"/>
      <c r="I227" s="1153"/>
      <c r="J227" s="1153"/>
      <c r="K227" s="1153"/>
      <c r="L227" s="1153"/>
      <c r="M227" s="1145"/>
      <c r="N227" s="1153"/>
      <c r="O227" s="1153"/>
      <c r="P227" s="1153"/>
      <c r="Q227" s="1153"/>
      <c r="R227" s="1153"/>
      <c r="S227" s="1153"/>
      <c r="T227" s="1153"/>
      <c r="U227" s="1154"/>
      <c r="V227" s="1145">
        <f t="shared" si="59"/>
        <v>0</v>
      </c>
    </row>
    <row r="228" spans="1:22" s="1166" customFormat="1" ht="16.2" hidden="1" x14ac:dyDescent="0.25">
      <c r="A228" s="1150"/>
      <c r="B228" s="1158"/>
      <c r="C228" s="1233"/>
      <c r="D228" s="1186" t="s">
        <v>1128</v>
      </c>
      <c r="E228" s="1145">
        <f t="shared" si="66"/>
        <v>0</v>
      </c>
      <c r="F228" s="1172">
        <f t="shared" si="68"/>
        <v>0</v>
      </c>
      <c r="G228" s="1163"/>
      <c r="H228" s="1163"/>
      <c r="I228" s="1163"/>
      <c r="J228" s="1163"/>
      <c r="K228" s="1163"/>
      <c r="L228" s="1163"/>
      <c r="M228" s="1161"/>
      <c r="N228" s="1163"/>
      <c r="O228" s="1163"/>
      <c r="P228" s="1163"/>
      <c r="Q228" s="1163"/>
      <c r="R228" s="1163"/>
      <c r="S228" s="1163"/>
      <c r="T228" s="1163"/>
      <c r="U228" s="1165"/>
      <c r="V228" s="1145">
        <f t="shared" si="59"/>
        <v>0</v>
      </c>
    </row>
    <row r="229" spans="1:22" ht="32.25" hidden="1" customHeight="1" x14ac:dyDescent="0.25">
      <c r="A229" s="1159" t="s">
        <v>1155</v>
      </c>
      <c r="B229" s="1169">
        <v>3044</v>
      </c>
      <c r="C229" s="1228" t="s">
        <v>1149</v>
      </c>
      <c r="D229" s="1208" t="s">
        <v>1156</v>
      </c>
      <c r="E229" s="1145">
        <f t="shared" si="66"/>
        <v>0</v>
      </c>
      <c r="F229" s="1172">
        <f t="shared" si="68"/>
        <v>0</v>
      </c>
      <c r="G229" s="1153"/>
      <c r="H229" s="1153"/>
      <c r="I229" s="1153"/>
      <c r="J229" s="1153"/>
      <c r="K229" s="1153"/>
      <c r="L229" s="1153"/>
      <c r="M229" s="1145"/>
      <c r="N229" s="1153"/>
      <c r="O229" s="1153"/>
      <c r="P229" s="1153"/>
      <c r="Q229" s="1153"/>
      <c r="R229" s="1153"/>
      <c r="S229" s="1153"/>
      <c r="T229" s="1153"/>
      <c r="U229" s="1154"/>
      <c r="V229" s="1145">
        <f t="shared" si="59"/>
        <v>0</v>
      </c>
    </row>
    <row r="230" spans="1:22" s="1166" customFormat="1" ht="16.2" hidden="1" x14ac:dyDescent="0.25">
      <c r="A230" s="1150"/>
      <c r="B230" s="1158"/>
      <c r="C230" s="1233"/>
      <c r="D230" s="1186" t="s">
        <v>1137</v>
      </c>
      <c r="E230" s="1145">
        <f t="shared" si="66"/>
        <v>0</v>
      </c>
      <c r="F230" s="1172">
        <f t="shared" si="68"/>
        <v>0</v>
      </c>
      <c r="G230" s="1163"/>
      <c r="H230" s="1163"/>
      <c r="I230" s="1163"/>
      <c r="J230" s="1163"/>
      <c r="K230" s="1163"/>
      <c r="L230" s="1163"/>
      <c r="M230" s="1161"/>
      <c r="N230" s="1163"/>
      <c r="O230" s="1163"/>
      <c r="P230" s="1163"/>
      <c r="Q230" s="1163"/>
      <c r="R230" s="1163"/>
      <c r="S230" s="1163"/>
      <c r="T230" s="1163"/>
      <c r="U230" s="1165"/>
      <c r="V230" s="1145">
        <f t="shared" si="59"/>
        <v>0</v>
      </c>
    </row>
    <row r="231" spans="1:22" ht="15.6" hidden="1" x14ac:dyDescent="0.25">
      <c r="A231" s="1159" t="s">
        <v>1157</v>
      </c>
      <c r="B231" s="1169">
        <v>3045</v>
      </c>
      <c r="C231" s="1238">
        <v>1040</v>
      </c>
      <c r="D231" s="1239" t="s">
        <v>1158</v>
      </c>
      <c r="E231" s="1145">
        <f t="shared" si="66"/>
        <v>0</v>
      </c>
      <c r="F231" s="1172">
        <f t="shared" si="68"/>
        <v>0</v>
      </c>
      <c r="G231" s="1153"/>
      <c r="H231" s="1153"/>
      <c r="I231" s="1153"/>
      <c r="J231" s="1153"/>
      <c r="K231" s="1153"/>
      <c r="L231" s="1153"/>
      <c r="M231" s="1145"/>
      <c r="N231" s="1153"/>
      <c r="O231" s="1153"/>
      <c r="P231" s="1153"/>
      <c r="Q231" s="1153"/>
      <c r="R231" s="1153"/>
      <c r="S231" s="1153"/>
      <c r="T231" s="1153"/>
      <c r="U231" s="1154"/>
      <c r="V231" s="1145">
        <f t="shared" si="59"/>
        <v>0</v>
      </c>
    </row>
    <row r="232" spans="1:22" s="1166" customFormat="1" ht="33" hidden="1" customHeight="1" x14ac:dyDescent="0.25">
      <c r="A232" s="1150"/>
      <c r="B232" s="1158"/>
      <c r="C232" s="1233"/>
      <c r="D232" s="1186" t="s">
        <v>1128</v>
      </c>
      <c r="E232" s="1145">
        <f t="shared" si="66"/>
        <v>0</v>
      </c>
      <c r="F232" s="1172">
        <f t="shared" si="68"/>
        <v>0</v>
      </c>
      <c r="G232" s="1163"/>
      <c r="H232" s="1163"/>
      <c r="I232" s="1163"/>
      <c r="J232" s="1163"/>
      <c r="K232" s="1163"/>
      <c r="L232" s="1163"/>
      <c r="M232" s="1161"/>
      <c r="N232" s="1163"/>
      <c r="O232" s="1163"/>
      <c r="P232" s="1163"/>
      <c r="Q232" s="1163"/>
      <c r="R232" s="1163"/>
      <c r="S232" s="1163"/>
      <c r="T232" s="1163"/>
      <c r="U232" s="1165"/>
      <c r="V232" s="1145">
        <f t="shared" si="59"/>
        <v>0</v>
      </c>
    </row>
    <row r="233" spans="1:22" ht="15.6" hidden="1" x14ac:dyDescent="0.25">
      <c r="A233" s="1159" t="s">
        <v>1159</v>
      </c>
      <c r="B233" s="1169">
        <v>3046</v>
      </c>
      <c r="C233" s="1228" t="s">
        <v>1149</v>
      </c>
      <c r="D233" s="1208" t="s">
        <v>1160</v>
      </c>
      <c r="E233" s="1145">
        <f t="shared" si="66"/>
        <v>0</v>
      </c>
      <c r="F233" s="1172">
        <f t="shared" si="68"/>
        <v>0</v>
      </c>
      <c r="G233" s="1153"/>
      <c r="H233" s="1153"/>
      <c r="I233" s="1153"/>
      <c r="J233" s="1153"/>
      <c r="K233" s="1153"/>
      <c r="L233" s="1153"/>
      <c r="M233" s="1145"/>
      <c r="N233" s="1153"/>
      <c r="O233" s="1153"/>
      <c r="P233" s="1153"/>
      <c r="Q233" s="1153"/>
      <c r="R233" s="1153"/>
      <c r="S233" s="1153"/>
      <c r="T233" s="1153"/>
      <c r="U233" s="1154"/>
      <c r="V233" s="1145">
        <f t="shared" si="59"/>
        <v>0</v>
      </c>
    </row>
    <row r="234" spans="1:22" s="1166" customFormat="1" ht="30.75" hidden="1" customHeight="1" x14ac:dyDescent="0.25">
      <c r="A234" s="1150"/>
      <c r="B234" s="1158"/>
      <c r="C234" s="1233"/>
      <c r="D234" s="1186" t="s">
        <v>1128</v>
      </c>
      <c r="E234" s="1145">
        <f t="shared" si="66"/>
        <v>0</v>
      </c>
      <c r="F234" s="1172">
        <f t="shared" si="68"/>
        <v>0</v>
      </c>
      <c r="G234" s="1163"/>
      <c r="H234" s="1163"/>
      <c r="I234" s="1163"/>
      <c r="J234" s="1163"/>
      <c r="K234" s="1163"/>
      <c r="L234" s="1163"/>
      <c r="M234" s="1161"/>
      <c r="N234" s="1163"/>
      <c r="O234" s="1163"/>
      <c r="P234" s="1163"/>
      <c r="Q234" s="1163"/>
      <c r="R234" s="1163"/>
      <c r="S234" s="1163"/>
      <c r="T234" s="1163"/>
      <c r="U234" s="1165"/>
      <c r="V234" s="1145">
        <f t="shared" si="59"/>
        <v>0</v>
      </c>
    </row>
    <row r="235" spans="1:22" ht="31.65" hidden="1" customHeight="1" x14ac:dyDescent="0.25">
      <c r="A235" s="1159" t="s">
        <v>1161</v>
      </c>
      <c r="B235" s="1169">
        <v>3047</v>
      </c>
      <c r="C235" s="1228" t="s">
        <v>1149</v>
      </c>
      <c r="D235" s="1208" t="s">
        <v>1162</v>
      </c>
      <c r="E235" s="1145">
        <f t="shared" si="66"/>
        <v>0</v>
      </c>
      <c r="F235" s="1172">
        <f t="shared" si="68"/>
        <v>0</v>
      </c>
      <c r="G235" s="1153"/>
      <c r="H235" s="1153"/>
      <c r="I235" s="1153"/>
      <c r="J235" s="1153"/>
      <c r="K235" s="1153"/>
      <c r="L235" s="1153"/>
      <c r="M235" s="1145"/>
      <c r="N235" s="1153"/>
      <c r="O235" s="1153"/>
      <c r="P235" s="1153"/>
      <c r="Q235" s="1153"/>
      <c r="R235" s="1153"/>
      <c r="S235" s="1153"/>
      <c r="T235" s="1153"/>
      <c r="U235" s="1154"/>
      <c r="V235" s="1145">
        <f t="shared" si="59"/>
        <v>0</v>
      </c>
    </row>
    <row r="236" spans="1:22" s="1166" customFormat="1" ht="33" hidden="1" customHeight="1" x14ac:dyDescent="0.25">
      <c r="A236" s="1150"/>
      <c r="B236" s="1158"/>
      <c r="C236" s="1233"/>
      <c r="D236" s="1186" t="s">
        <v>1128</v>
      </c>
      <c r="E236" s="1145">
        <f t="shared" si="66"/>
        <v>0</v>
      </c>
      <c r="F236" s="1172">
        <f t="shared" si="68"/>
        <v>0</v>
      </c>
      <c r="G236" s="1163"/>
      <c r="H236" s="1163"/>
      <c r="I236" s="1163"/>
      <c r="J236" s="1163"/>
      <c r="K236" s="1163"/>
      <c r="L236" s="1163"/>
      <c r="M236" s="1161"/>
      <c r="N236" s="1163"/>
      <c r="O236" s="1163"/>
      <c r="P236" s="1163"/>
      <c r="Q236" s="1163"/>
      <c r="R236" s="1163"/>
      <c r="S236" s="1163"/>
      <c r="T236" s="1163"/>
      <c r="U236" s="1165"/>
      <c r="V236" s="1145">
        <f t="shared" si="59"/>
        <v>0</v>
      </c>
    </row>
    <row r="237" spans="1:22" ht="31.65" hidden="1" customHeight="1" x14ac:dyDescent="0.25">
      <c r="A237" s="1159" t="s">
        <v>1163</v>
      </c>
      <c r="B237" s="1169">
        <v>3049</v>
      </c>
      <c r="C237" s="1228" t="s">
        <v>1149</v>
      </c>
      <c r="D237" s="1208" t="s">
        <v>1164</v>
      </c>
      <c r="E237" s="1145">
        <f>F237+L237</f>
        <v>0</v>
      </c>
      <c r="F237" s="1172">
        <f>SUM(G237:K237)</f>
        <v>0</v>
      </c>
      <c r="G237" s="1153"/>
      <c r="H237" s="1153"/>
      <c r="I237" s="1153"/>
      <c r="J237" s="1153"/>
      <c r="K237" s="1153"/>
      <c r="L237" s="1153"/>
      <c r="M237" s="1145"/>
      <c r="N237" s="1153"/>
      <c r="O237" s="1153"/>
      <c r="P237" s="1153"/>
      <c r="Q237" s="1153"/>
      <c r="R237" s="1153"/>
      <c r="S237" s="1153"/>
      <c r="T237" s="1153"/>
      <c r="U237" s="1154"/>
      <c r="V237" s="1145">
        <f>M237+E237</f>
        <v>0</v>
      </c>
    </row>
    <row r="238" spans="1:22" s="1166" customFormat="1" ht="33" hidden="1" customHeight="1" x14ac:dyDescent="0.25">
      <c r="A238" s="1150"/>
      <c r="B238" s="1158"/>
      <c r="C238" s="1233"/>
      <c r="D238" s="1186" t="s">
        <v>1128</v>
      </c>
      <c r="E238" s="1145">
        <f>F238+L238</f>
        <v>0</v>
      </c>
      <c r="F238" s="1172">
        <f>SUM(G238:K238)</f>
        <v>0</v>
      </c>
      <c r="G238" s="1163"/>
      <c r="H238" s="1163"/>
      <c r="I238" s="1163"/>
      <c r="J238" s="1163"/>
      <c r="K238" s="1163"/>
      <c r="L238" s="1163"/>
      <c r="M238" s="1161"/>
      <c r="N238" s="1163"/>
      <c r="O238" s="1163"/>
      <c r="P238" s="1163"/>
      <c r="Q238" s="1163"/>
      <c r="R238" s="1163"/>
      <c r="S238" s="1163"/>
      <c r="T238" s="1163"/>
      <c r="U238" s="1165"/>
      <c r="V238" s="1145">
        <f>M238+E238</f>
        <v>0</v>
      </c>
    </row>
    <row r="239" spans="1:22" ht="56.25" customHeight="1" x14ac:dyDescent="0.25">
      <c r="A239" s="1150" t="s">
        <v>1165</v>
      </c>
      <c r="B239" s="1169">
        <v>3050</v>
      </c>
      <c r="C239" s="1228" t="s">
        <v>1166</v>
      </c>
      <c r="D239" s="1208" t="s">
        <v>294</v>
      </c>
      <c r="E239" s="1145">
        <f t="shared" si="66"/>
        <v>436196</v>
      </c>
      <c r="F239" s="1172">
        <f t="shared" si="68"/>
        <v>436196</v>
      </c>
      <c r="G239" s="1153"/>
      <c r="H239" s="1153"/>
      <c r="I239" s="1153"/>
      <c r="J239" s="1153"/>
      <c r="K239" s="1153">
        <v>436196</v>
      </c>
      <c r="L239" s="1153"/>
      <c r="M239" s="1145"/>
      <c r="N239" s="1153"/>
      <c r="O239" s="1153"/>
      <c r="P239" s="1153"/>
      <c r="Q239" s="1153"/>
      <c r="R239" s="1153"/>
      <c r="S239" s="1153"/>
      <c r="T239" s="1153"/>
      <c r="U239" s="1154"/>
      <c r="V239" s="1145">
        <f t="shared" si="59"/>
        <v>436196</v>
      </c>
    </row>
    <row r="240" spans="1:22" ht="16.2" hidden="1" x14ac:dyDescent="0.25">
      <c r="A240" s="1150"/>
      <c r="B240" s="1169"/>
      <c r="C240" s="1228"/>
      <c r="D240" s="1186" t="s">
        <v>1102</v>
      </c>
      <c r="E240" s="1161">
        <f t="shared" si="66"/>
        <v>0</v>
      </c>
      <c r="F240" s="1162">
        <f>SUM(G240:K240)</f>
        <v>0</v>
      </c>
      <c r="G240" s="1163"/>
      <c r="H240" s="1163"/>
      <c r="I240" s="1163"/>
      <c r="J240" s="1163"/>
      <c r="K240" s="1163"/>
      <c r="L240" s="1153"/>
      <c r="M240" s="1145"/>
      <c r="N240" s="1153"/>
      <c r="O240" s="1153"/>
      <c r="P240" s="1153"/>
      <c r="Q240" s="1153"/>
      <c r="R240" s="1153"/>
      <c r="S240" s="1153"/>
      <c r="T240" s="1153"/>
      <c r="U240" s="1154"/>
      <c r="V240" s="1161">
        <f t="shared" si="59"/>
        <v>0</v>
      </c>
    </row>
    <row r="241" spans="1:22" ht="157.19999999999999" hidden="1" customHeight="1" x14ac:dyDescent="0.25">
      <c r="A241" s="1150" t="s">
        <v>1167</v>
      </c>
      <c r="B241" s="1169">
        <v>3080</v>
      </c>
      <c r="C241" s="1228"/>
      <c r="D241" s="1240" t="s">
        <v>1168</v>
      </c>
      <c r="E241" s="1145">
        <f t="shared" si="66"/>
        <v>0</v>
      </c>
      <c r="F241" s="1172">
        <f>SUM(G241:K241)</f>
        <v>0</v>
      </c>
      <c r="G241" s="1153"/>
      <c r="H241" s="1153"/>
      <c r="I241" s="1153"/>
      <c r="J241" s="1153"/>
      <c r="K241" s="1153">
        <f>K242+K244+K246+K248+K250+K252+K254</f>
        <v>0</v>
      </c>
      <c r="L241" s="1153"/>
      <c r="M241" s="1145"/>
      <c r="N241" s="1153"/>
      <c r="O241" s="1153"/>
      <c r="P241" s="1153"/>
      <c r="Q241" s="1153"/>
      <c r="R241" s="1153"/>
      <c r="S241" s="1153"/>
      <c r="T241" s="1153"/>
      <c r="U241" s="1154"/>
      <c r="V241" s="1145">
        <f t="shared" si="59"/>
        <v>0</v>
      </c>
    </row>
    <row r="242" spans="1:22" ht="43.2" hidden="1" customHeight="1" x14ac:dyDescent="0.25">
      <c r="A242" s="1159" t="s">
        <v>1169</v>
      </c>
      <c r="B242" s="1169">
        <v>3081</v>
      </c>
      <c r="C242" s="1228" t="s">
        <v>1170</v>
      </c>
      <c r="D242" s="1208" t="s">
        <v>1171</v>
      </c>
      <c r="E242" s="1145">
        <f t="shared" si="66"/>
        <v>0</v>
      </c>
      <c r="F242" s="1172">
        <f t="shared" ref="F242:F251" si="69">SUM(G242:K242)</f>
        <v>0</v>
      </c>
      <c r="G242" s="1153"/>
      <c r="H242" s="1153"/>
      <c r="I242" s="1153"/>
      <c r="J242" s="1153"/>
      <c r="K242" s="1153"/>
      <c r="L242" s="1153"/>
      <c r="M242" s="1145"/>
      <c r="N242" s="1153"/>
      <c r="O242" s="1153"/>
      <c r="P242" s="1153"/>
      <c r="Q242" s="1153"/>
      <c r="R242" s="1153"/>
      <c r="S242" s="1153"/>
      <c r="T242" s="1153"/>
      <c r="U242" s="1154"/>
      <c r="V242" s="1145">
        <f t="shared" si="59"/>
        <v>0</v>
      </c>
    </row>
    <row r="243" spans="1:22" s="1166" customFormat="1" ht="16.2" hidden="1" x14ac:dyDescent="0.25">
      <c r="A243" s="1150"/>
      <c r="B243" s="1158"/>
      <c r="C243" s="1226"/>
      <c r="D243" s="1186" t="s">
        <v>1128</v>
      </c>
      <c r="E243" s="1145">
        <f t="shared" si="66"/>
        <v>0</v>
      </c>
      <c r="F243" s="1172">
        <f t="shared" si="69"/>
        <v>0</v>
      </c>
      <c r="G243" s="1163"/>
      <c r="H243" s="1163"/>
      <c r="I243" s="1163"/>
      <c r="J243" s="1163"/>
      <c r="K243" s="1163">
        <f>K242</f>
        <v>0</v>
      </c>
      <c r="L243" s="1163"/>
      <c r="M243" s="1161"/>
      <c r="N243" s="1163"/>
      <c r="O243" s="1163"/>
      <c r="P243" s="1163"/>
      <c r="Q243" s="1163"/>
      <c r="R243" s="1163"/>
      <c r="S243" s="1163"/>
      <c r="T243" s="1163"/>
      <c r="U243" s="1165"/>
      <c r="V243" s="1145">
        <f t="shared" si="59"/>
        <v>0</v>
      </c>
    </row>
    <row r="244" spans="1:22" ht="63" hidden="1" customHeight="1" x14ac:dyDescent="0.25">
      <c r="A244" s="1159" t="s">
        <v>1172</v>
      </c>
      <c r="B244" s="1169">
        <v>3082</v>
      </c>
      <c r="C244" s="1228" t="s">
        <v>1170</v>
      </c>
      <c r="D244" s="1208" t="s">
        <v>1173</v>
      </c>
      <c r="E244" s="1145">
        <f t="shared" si="66"/>
        <v>0</v>
      </c>
      <c r="F244" s="1172">
        <f t="shared" si="69"/>
        <v>0</v>
      </c>
      <c r="G244" s="1153"/>
      <c r="H244" s="1153"/>
      <c r="I244" s="1153"/>
      <c r="J244" s="1153"/>
      <c r="K244" s="1153"/>
      <c r="L244" s="1153"/>
      <c r="M244" s="1145"/>
      <c r="N244" s="1153"/>
      <c r="O244" s="1153"/>
      <c r="P244" s="1153"/>
      <c r="Q244" s="1153"/>
      <c r="R244" s="1153"/>
      <c r="S244" s="1153"/>
      <c r="T244" s="1153"/>
      <c r="U244" s="1154"/>
      <c r="V244" s="1145">
        <f t="shared" si="59"/>
        <v>0</v>
      </c>
    </row>
    <row r="245" spans="1:22" s="1166" customFormat="1" ht="16.2" hidden="1" x14ac:dyDescent="0.25">
      <c r="A245" s="1150"/>
      <c r="B245" s="1158"/>
      <c r="C245" s="1226"/>
      <c r="D245" s="1186" t="s">
        <v>1128</v>
      </c>
      <c r="E245" s="1145">
        <f t="shared" si="66"/>
        <v>0</v>
      </c>
      <c r="F245" s="1172">
        <f t="shared" si="69"/>
        <v>0</v>
      </c>
      <c r="G245" s="1163"/>
      <c r="H245" s="1163"/>
      <c r="I245" s="1163"/>
      <c r="J245" s="1163"/>
      <c r="K245" s="1163">
        <f>K244</f>
        <v>0</v>
      </c>
      <c r="L245" s="1163"/>
      <c r="M245" s="1161"/>
      <c r="N245" s="1163"/>
      <c r="O245" s="1163"/>
      <c r="P245" s="1163"/>
      <c r="Q245" s="1163"/>
      <c r="R245" s="1163"/>
      <c r="S245" s="1163"/>
      <c r="T245" s="1163"/>
      <c r="U245" s="1165"/>
      <c r="V245" s="1145">
        <f t="shared" si="59"/>
        <v>0</v>
      </c>
    </row>
    <row r="246" spans="1:22" ht="52.2" hidden="1" customHeight="1" x14ac:dyDescent="0.25">
      <c r="A246" s="1159" t="s">
        <v>1174</v>
      </c>
      <c r="B246" s="1169">
        <v>3083</v>
      </c>
      <c r="C246" s="1228" t="s">
        <v>1170</v>
      </c>
      <c r="D246" s="1241" t="s">
        <v>1175</v>
      </c>
      <c r="E246" s="1145">
        <f t="shared" si="66"/>
        <v>0</v>
      </c>
      <c r="F246" s="1172">
        <f t="shared" si="69"/>
        <v>0</v>
      </c>
      <c r="G246" s="1153"/>
      <c r="H246" s="1153"/>
      <c r="I246" s="1153"/>
      <c r="J246" s="1153"/>
      <c r="K246" s="1153"/>
      <c r="L246" s="1153"/>
      <c r="M246" s="1145"/>
      <c r="N246" s="1153"/>
      <c r="O246" s="1153"/>
      <c r="P246" s="1153"/>
      <c r="Q246" s="1153"/>
      <c r="R246" s="1153"/>
      <c r="S246" s="1153"/>
      <c r="T246" s="1153"/>
      <c r="U246" s="1154"/>
      <c r="V246" s="1145">
        <f t="shared" si="59"/>
        <v>0</v>
      </c>
    </row>
    <row r="247" spans="1:22" s="1166" customFormat="1" ht="16.2" hidden="1" x14ac:dyDescent="0.25">
      <c r="A247" s="1150"/>
      <c r="B247" s="1158"/>
      <c r="C247" s="1226"/>
      <c r="D247" s="1186" t="s">
        <v>1128</v>
      </c>
      <c r="E247" s="1145">
        <f t="shared" si="66"/>
        <v>0</v>
      </c>
      <c r="F247" s="1172">
        <f t="shared" si="69"/>
        <v>0</v>
      </c>
      <c r="G247" s="1163"/>
      <c r="H247" s="1163"/>
      <c r="I247" s="1163"/>
      <c r="J247" s="1163"/>
      <c r="K247" s="1163">
        <f>K246</f>
        <v>0</v>
      </c>
      <c r="L247" s="1163"/>
      <c r="M247" s="1161"/>
      <c r="N247" s="1163"/>
      <c r="O247" s="1163"/>
      <c r="P247" s="1163"/>
      <c r="Q247" s="1163"/>
      <c r="R247" s="1163"/>
      <c r="S247" s="1163"/>
      <c r="T247" s="1163"/>
      <c r="U247" s="1165"/>
      <c r="V247" s="1145">
        <f t="shared" si="59"/>
        <v>0</v>
      </c>
    </row>
    <row r="248" spans="1:22" ht="61.95" hidden="1" customHeight="1" x14ac:dyDescent="0.25">
      <c r="A248" s="1159" t="s">
        <v>1176</v>
      </c>
      <c r="B248" s="1169">
        <v>3084</v>
      </c>
      <c r="C248" s="1228" t="s">
        <v>977</v>
      </c>
      <c r="D248" s="1208" t="s">
        <v>1177</v>
      </c>
      <c r="E248" s="1145">
        <f t="shared" si="66"/>
        <v>0</v>
      </c>
      <c r="F248" s="1172">
        <f t="shared" si="69"/>
        <v>0</v>
      </c>
      <c r="G248" s="1153"/>
      <c r="H248" s="1153"/>
      <c r="I248" s="1153"/>
      <c r="J248" s="1153"/>
      <c r="K248" s="1153"/>
      <c r="L248" s="1153"/>
      <c r="M248" s="1145"/>
      <c r="N248" s="1153"/>
      <c r="O248" s="1153"/>
      <c r="P248" s="1153"/>
      <c r="Q248" s="1153"/>
      <c r="R248" s="1153"/>
      <c r="S248" s="1153"/>
      <c r="T248" s="1153"/>
      <c r="U248" s="1154"/>
      <c r="V248" s="1145">
        <f t="shared" si="59"/>
        <v>0</v>
      </c>
    </row>
    <row r="249" spans="1:22" s="1166" customFormat="1" ht="16.2" hidden="1" x14ac:dyDescent="0.25">
      <c r="A249" s="1150"/>
      <c r="B249" s="1158"/>
      <c r="C249" s="1226"/>
      <c r="D249" s="1186" t="s">
        <v>1128</v>
      </c>
      <c r="E249" s="1145">
        <f t="shared" si="66"/>
        <v>0</v>
      </c>
      <c r="F249" s="1172">
        <f t="shared" si="69"/>
        <v>0</v>
      </c>
      <c r="G249" s="1163"/>
      <c r="H249" s="1163"/>
      <c r="I249" s="1163"/>
      <c r="J249" s="1163"/>
      <c r="K249" s="1163">
        <f>K248</f>
        <v>0</v>
      </c>
      <c r="L249" s="1163"/>
      <c r="M249" s="1161"/>
      <c r="N249" s="1163"/>
      <c r="O249" s="1163"/>
      <c r="P249" s="1163"/>
      <c r="Q249" s="1163"/>
      <c r="R249" s="1163"/>
      <c r="S249" s="1163"/>
      <c r="T249" s="1163"/>
      <c r="U249" s="1165"/>
      <c r="V249" s="1145">
        <f t="shared" si="59"/>
        <v>0</v>
      </c>
    </row>
    <row r="250" spans="1:22" ht="80.25" hidden="1" customHeight="1" x14ac:dyDescent="0.25">
      <c r="A250" s="1159" t="s">
        <v>1178</v>
      </c>
      <c r="B250" s="1169">
        <v>3085</v>
      </c>
      <c r="C250" s="1228" t="s">
        <v>1170</v>
      </c>
      <c r="D250" s="1208" t="s">
        <v>1179</v>
      </c>
      <c r="E250" s="1145">
        <f t="shared" si="66"/>
        <v>0</v>
      </c>
      <c r="F250" s="1172">
        <f t="shared" si="69"/>
        <v>0</v>
      </c>
      <c r="G250" s="1153"/>
      <c r="H250" s="1153"/>
      <c r="I250" s="1153"/>
      <c r="J250" s="1153"/>
      <c r="K250" s="1153"/>
      <c r="L250" s="1153"/>
      <c r="M250" s="1145"/>
      <c r="N250" s="1153"/>
      <c r="O250" s="1153"/>
      <c r="P250" s="1153"/>
      <c r="Q250" s="1153"/>
      <c r="R250" s="1153"/>
      <c r="S250" s="1153"/>
      <c r="T250" s="1153"/>
      <c r="U250" s="1154"/>
      <c r="V250" s="1145">
        <f t="shared" si="59"/>
        <v>0</v>
      </c>
    </row>
    <row r="251" spans="1:22" s="1166" customFormat="1" ht="16.2" hidden="1" x14ac:dyDescent="0.25">
      <c r="A251" s="1150"/>
      <c r="B251" s="1158"/>
      <c r="C251" s="1226"/>
      <c r="D251" s="1186" t="s">
        <v>1128</v>
      </c>
      <c r="E251" s="1145">
        <f t="shared" si="66"/>
        <v>0</v>
      </c>
      <c r="F251" s="1172">
        <f t="shared" si="69"/>
        <v>0</v>
      </c>
      <c r="G251" s="1163"/>
      <c r="H251" s="1163"/>
      <c r="I251" s="1163"/>
      <c r="J251" s="1163"/>
      <c r="K251" s="1163">
        <f>K250</f>
        <v>0</v>
      </c>
      <c r="L251" s="1163"/>
      <c r="M251" s="1161"/>
      <c r="N251" s="1163"/>
      <c r="O251" s="1163"/>
      <c r="P251" s="1163"/>
      <c r="Q251" s="1163"/>
      <c r="R251" s="1163"/>
      <c r="S251" s="1163"/>
      <c r="T251" s="1163"/>
      <c r="U251" s="1165"/>
      <c r="V251" s="1145">
        <f t="shared" si="59"/>
        <v>0</v>
      </c>
    </row>
    <row r="252" spans="1:22" ht="180.6" hidden="1" customHeight="1" x14ac:dyDescent="0.25">
      <c r="A252" s="1159" t="s">
        <v>1180</v>
      </c>
      <c r="B252" s="1169">
        <v>3086</v>
      </c>
      <c r="C252" s="1228" t="s">
        <v>977</v>
      </c>
      <c r="D252" s="1240" t="s">
        <v>1181</v>
      </c>
      <c r="E252" s="1145">
        <f>F252+L252</f>
        <v>0</v>
      </c>
      <c r="F252" s="1172">
        <f>SUM(G252:K252)</f>
        <v>0</v>
      </c>
      <c r="G252" s="1153"/>
      <c r="H252" s="1153"/>
      <c r="I252" s="1153"/>
      <c r="J252" s="1153"/>
      <c r="K252" s="1153"/>
      <c r="L252" s="1153"/>
      <c r="M252" s="1145"/>
      <c r="N252" s="1153"/>
      <c r="O252" s="1153"/>
      <c r="P252" s="1153"/>
      <c r="Q252" s="1153"/>
      <c r="R252" s="1153"/>
      <c r="S252" s="1153"/>
      <c r="T252" s="1153"/>
      <c r="U252" s="1154"/>
      <c r="V252" s="1145">
        <f>M252+E252</f>
        <v>0</v>
      </c>
    </row>
    <row r="253" spans="1:22" s="1166" customFormat="1" ht="16.2" hidden="1" x14ac:dyDescent="0.25">
      <c r="A253" s="1150"/>
      <c r="B253" s="1158"/>
      <c r="C253" s="1226"/>
      <c r="D253" s="1186" t="s">
        <v>1128</v>
      </c>
      <c r="E253" s="1145">
        <f>F253+L253</f>
        <v>0</v>
      </c>
      <c r="F253" s="1172">
        <f>SUM(G253:K253)</f>
        <v>0</v>
      </c>
      <c r="G253" s="1163"/>
      <c r="H253" s="1163"/>
      <c r="I253" s="1163"/>
      <c r="J253" s="1163"/>
      <c r="K253" s="1163">
        <f>K252</f>
        <v>0</v>
      </c>
      <c r="L253" s="1163"/>
      <c r="M253" s="1161"/>
      <c r="N253" s="1163"/>
      <c r="O253" s="1163"/>
      <c r="P253" s="1163"/>
      <c r="Q253" s="1163"/>
      <c r="R253" s="1163"/>
      <c r="S253" s="1163"/>
      <c r="T253" s="1163"/>
      <c r="U253" s="1165"/>
      <c r="V253" s="1145">
        <f>M253+E253</f>
        <v>0</v>
      </c>
    </row>
    <row r="254" spans="1:22" ht="27.6" hidden="1" x14ac:dyDescent="0.25">
      <c r="A254" s="1159" t="s">
        <v>1182</v>
      </c>
      <c r="B254" s="1169">
        <v>3087</v>
      </c>
      <c r="C254" s="1228" t="s">
        <v>977</v>
      </c>
      <c r="D254" s="1240" t="s">
        <v>1183</v>
      </c>
      <c r="E254" s="1145">
        <f>F254+L254</f>
        <v>0</v>
      </c>
      <c r="F254" s="1172">
        <f>SUM(G254:K254)</f>
        <v>0</v>
      </c>
      <c r="G254" s="1153"/>
      <c r="H254" s="1153"/>
      <c r="I254" s="1153"/>
      <c r="J254" s="1153"/>
      <c r="K254" s="1153"/>
      <c r="L254" s="1153"/>
      <c r="M254" s="1145"/>
      <c r="N254" s="1153"/>
      <c r="O254" s="1153"/>
      <c r="P254" s="1153"/>
      <c r="Q254" s="1153"/>
      <c r="R254" s="1153"/>
      <c r="S254" s="1153"/>
      <c r="T254" s="1153"/>
      <c r="U254" s="1154"/>
      <c r="V254" s="1145">
        <f>M254+E254</f>
        <v>0</v>
      </c>
    </row>
    <row r="255" spans="1:22" s="1166" customFormat="1" ht="16.2" hidden="1" x14ac:dyDescent="0.25">
      <c r="A255" s="1150"/>
      <c r="B255" s="1158"/>
      <c r="C255" s="1226"/>
      <c r="D255" s="1186" t="s">
        <v>1128</v>
      </c>
      <c r="E255" s="1145">
        <f>F255+L255</f>
        <v>0</v>
      </c>
      <c r="F255" s="1172">
        <f>SUM(G255:K255)</f>
        <v>0</v>
      </c>
      <c r="G255" s="1163"/>
      <c r="H255" s="1163"/>
      <c r="I255" s="1163"/>
      <c r="J255" s="1163"/>
      <c r="K255" s="1163">
        <f>K254</f>
        <v>0</v>
      </c>
      <c r="L255" s="1163"/>
      <c r="M255" s="1161"/>
      <c r="N255" s="1163"/>
      <c r="O255" s="1163"/>
      <c r="P255" s="1163"/>
      <c r="Q255" s="1163"/>
      <c r="R255" s="1163"/>
      <c r="S255" s="1163"/>
      <c r="T255" s="1163"/>
      <c r="U255" s="1165"/>
      <c r="V255" s="1145">
        <f>M255+E255</f>
        <v>0</v>
      </c>
    </row>
    <row r="256" spans="1:22" s="1166" customFormat="1" ht="31.2" hidden="1" customHeight="1" x14ac:dyDescent="0.25">
      <c r="A256" s="1150" t="s">
        <v>1184</v>
      </c>
      <c r="B256" s="1169">
        <v>3090</v>
      </c>
      <c r="C256" s="1228">
        <v>1030</v>
      </c>
      <c r="D256" s="1242" t="s">
        <v>296</v>
      </c>
      <c r="E256" s="1145">
        <f t="shared" si="66"/>
        <v>0</v>
      </c>
      <c r="F256" s="1172">
        <f>SUM(G256:K256)</f>
        <v>0</v>
      </c>
      <c r="G256" s="1163"/>
      <c r="H256" s="1163"/>
      <c r="I256" s="1163"/>
      <c r="J256" s="1163"/>
      <c r="K256" s="1153">
        <f>K257</f>
        <v>0</v>
      </c>
      <c r="L256" s="1163"/>
      <c r="M256" s="1204"/>
      <c r="N256" s="1163"/>
      <c r="O256" s="1163"/>
      <c r="P256" s="1163"/>
      <c r="Q256" s="1163"/>
      <c r="R256" s="1163"/>
      <c r="S256" s="1163"/>
      <c r="T256" s="1163"/>
      <c r="U256" s="1165"/>
      <c r="V256" s="1145">
        <f t="shared" ref="V256:V319" si="70">M256+E256</f>
        <v>0</v>
      </c>
    </row>
    <row r="257" spans="1:22" s="1166" customFormat="1" ht="16.2" hidden="1" x14ac:dyDescent="0.25">
      <c r="A257" s="1150"/>
      <c r="B257" s="1158"/>
      <c r="C257" s="1243"/>
      <c r="D257" s="1186" t="s">
        <v>1102</v>
      </c>
      <c r="E257" s="1161">
        <f t="shared" si="66"/>
        <v>0</v>
      </c>
      <c r="F257" s="1162">
        <f>F256</f>
        <v>0</v>
      </c>
      <c r="G257" s="1163"/>
      <c r="H257" s="1163"/>
      <c r="I257" s="1163"/>
      <c r="J257" s="1163"/>
      <c r="K257" s="1163"/>
      <c r="L257" s="1163"/>
      <c r="M257" s="1204"/>
      <c r="N257" s="1163"/>
      <c r="O257" s="1163"/>
      <c r="P257" s="1163"/>
      <c r="Q257" s="1163"/>
      <c r="R257" s="1163"/>
      <c r="S257" s="1163"/>
      <c r="T257" s="1163"/>
      <c r="U257" s="1165"/>
      <c r="V257" s="1145">
        <f t="shared" si="70"/>
        <v>0</v>
      </c>
    </row>
    <row r="258" spans="1:22" s="1166" customFormat="1" ht="71.25" hidden="1" customHeight="1" x14ac:dyDescent="0.25">
      <c r="A258" s="1150" t="s">
        <v>1185</v>
      </c>
      <c r="B258" s="1158"/>
      <c r="C258" s="1243"/>
      <c r="D258" s="1242" t="s">
        <v>298</v>
      </c>
      <c r="E258" s="1145">
        <f>F258+L258</f>
        <v>100197471</v>
      </c>
      <c r="F258" s="1172">
        <f>G258+H258+I258+J258+K258</f>
        <v>100197471</v>
      </c>
      <c r="G258" s="1153">
        <f>G259+G261+G263+G264+G265+G270+G271</f>
        <v>36637509</v>
      </c>
      <c r="H258" s="1153">
        <f>H259+H261+H263+H264+H265+H270+H271</f>
        <v>0</v>
      </c>
      <c r="I258" s="1153">
        <f>I259+I261+I263+I264+I265+I270+I271</f>
        <v>1288900</v>
      </c>
      <c r="J258" s="1153">
        <f>J259+J261+J263+J264+J265+J270+J271</f>
        <v>4976769</v>
      </c>
      <c r="K258" s="1153">
        <f>K259+K261+K263+K264+K265+K270+K271</f>
        <v>57294293</v>
      </c>
      <c r="L258" s="1163"/>
      <c r="M258" s="1145">
        <f>O258+T258</f>
        <v>969543</v>
      </c>
      <c r="N258" s="1153"/>
      <c r="O258" s="1153">
        <f>O259+O261+O263+O264+O265+O270+O271</f>
        <v>969543</v>
      </c>
      <c r="P258" s="1153">
        <f>P259+P261+P263+P264+P265+P270+P271</f>
        <v>73524</v>
      </c>
      <c r="Q258" s="1153">
        <f>Q259+Q261+Q263+Q264+Q265+Q270+Q271</f>
        <v>18527</v>
      </c>
      <c r="R258" s="1153">
        <f>R259+R261+R263+R264+R265+R270+R271</f>
        <v>9020</v>
      </c>
      <c r="S258" s="1153">
        <f>S259+S261+S263+S264+S265+S270+S271</f>
        <v>512655</v>
      </c>
      <c r="T258" s="1153"/>
      <c r="U258" s="1154">
        <f>U259+U261+U263+U264+U265+U270+U271</f>
        <v>0</v>
      </c>
      <c r="V258" s="1145">
        <f t="shared" si="70"/>
        <v>101167014</v>
      </c>
    </row>
    <row r="259" spans="1:22" ht="74.25" customHeight="1" x14ac:dyDescent="0.25">
      <c r="A259" s="1150" t="s">
        <v>1186</v>
      </c>
      <c r="B259" s="1169">
        <v>3104</v>
      </c>
      <c r="C259" s="1228" t="s">
        <v>1187</v>
      </c>
      <c r="D259" s="1208" t="s">
        <v>300</v>
      </c>
      <c r="E259" s="1145">
        <f t="shared" si="66"/>
        <v>39439872</v>
      </c>
      <c r="F259" s="1172">
        <f>SUM(G259:K259)</f>
        <v>39439872</v>
      </c>
      <c r="G259" s="1153">
        <f>27169567+662750</f>
        <v>27832317</v>
      </c>
      <c r="H259" s="1153"/>
      <c r="I259" s="1153">
        <f>865575+354925+68400</f>
        <v>1288900</v>
      </c>
      <c r="J259" s="1153">
        <f>1166507+419272</f>
        <v>1585779</v>
      </c>
      <c r="K259" s="1153">
        <f>36563467-27169567-865575-1166507+1231600+139458</f>
        <v>8732876</v>
      </c>
      <c r="L259" s="1153"/>
      <c r="M259" s="1145">
        <f>O259+T259</f>
        <v>969543</v>
      </c>
      <c r="N259" s="1153">
        <f>T259</f>
        <v>0</v>
      </c>
      <c r="O259" s="1153">
        <v>969543</v>
      </c>
      <c r="P259" s="1153">
        <v>73524</v>
      </c>
      <c r="Q259" s="1153">
        <v>18527</v>
      </c>
      <c r="R259" s="1153">
        <v>9020</v>
      </c>
      <c r="S259" s="1153">
        <v>512655</v>
      </c>
      <c r="T259" s="1153"/>
      <c r="U259" s="1154"/>
      <c r="V259" s="1145">
        <f t="shared" si="70"/>
        <v>40409415</v>
      </c>
    </row>
    <row r="260" spans="1:22" ht="34.200000000000003" customHeight="1" x14ac:dyDescent="0.25">
      <c r="A260" s="1150" t="s">
        <v>1188</v>
      </c>
      <c r="B260" s="1169">
        <v>3105</v>
      </c>
      <c r="C260" s="1228" t="s">
        <v>1189</v>
      </c>
      <c r="D260" s="1208" t="s">
        <v>302</v>
      </c>
      <c r="E260" s="1145">
        <f t="shared" si="66"/>
        <v>10079870</v>
      </c>
      <c r="F260" s="1172">
        <f>SUM(G260:K260)</f>
        <v>10079870</v>
      </c>
      <c r="G260" s="1153">
        <f>5447710+1129304</f>
        <v>6577014</v>
      </c>
      <c r="H260" s="1153"/>
      <c r="I260" s="1153">
        <f>1106307+156255</f>
        <v>1262562</v>
      </c>
      <c r="J260" s="1153">
        <v>443354</v>
      </c>
      <c r="K260" s="1153">
        <f>8545867-443354-1106307-5447710+248444</f>
        <v>1796940</v>
      </c>
      <c r="L260" s="1153"/>
      <c r="M260" s="1145">
        <f t="shared" ref="M260:M273" si="71">O260+T260</f>
        <v>0</v>
      </c>
      <c r="N260" s="1153">
        <f>T260</f>
        <v>0</v>
      </c>
      <c r="O260" s="1153"/>
      <c r="P260" s="1153"/>
      <c r="Q260" s="1153"/>
      <c r="R260" s="1153"/>
      <c r="S260" s="1153"/>
      <c r="T260" s="1153"/>
      <c r="U260" s="1154"/>
      <c r="V260" s="1145">
        <f t="shared" si="70"/>
        <v>10079870</v>
      </c>
    </row>
    <row r="261" spans="1:22" ht="33" customHeight="1" x14ac:dyDescent="0.25">
      <c r="A261" s="1150" t="s">
        <v>1190</v>
      </c>
      <c r="B261" s="1169">
        <v>3121</v>
      </c>
      <c r="C261" s="1228" t="s">
        <v>977</v>
      </c>
      <c r="D261" s="1208" t="s">
        <v>1191</v>
      </c>
      <c r="E261" s="1145">
        <f t="shared" si="66"/>
        <v>14714328</v>
      </c>
      <c r="F261" s="1172">
        <f>SUM(G261:K261)</f>
        <v>14714328</v>
      </c>
      <c r="G261" s="1153">
        <f>7519747+1285445</f>
        <v>8805192</v>
      </c>
      <c r="H261" s="1153"/>
      <c r="I261" s="1153"/>
      <c r="J261" s="1153">
        <v>3390990</v>
      </c>
      <c r="K261" s="1153">
        <f>13108487-3390990-7519747+320396</f>
        <v>2518146</v>
      </c>
      <c r="L261" s="1153"/>
      <c r="M261" s="1145">
        <f t="shared" si="71"/>
        <v>0</v>
      </c>
      <c r="N261" s="1153">
        <f>T261</f>
        <v>0</v>
      </c>
      <c r="O261" s="1153"/>
      <c r="P261" s="1153"/>
      <c r="Q261" s="1153"/>
      <c r="R261" s="1153"/>
      <c r="S261" s="1153"/>
      <c r="T261" s="1153">
        <f>900000-900000</f>
        <v>0</v>
      </c>
      <c r="U261" s="1154"/>
      <c r="V261" s="1145">
        <f t="shared" si="70"/>
        <v>14714328</v>
      </c>
    </row>
    <row r="262" spans="1:22" s="1166" customFormat="1" ht="16.2" hidden="1" x14ac:dyDescent="0.25">
      <c r="A262" s="1159"/>
      <c r="B262" s="1158"/>
      <c r="C262" s="1226"/>
      <c r="D262" s="1218" t="s">
        <v>890</v>
      </c>
      <c r="E262" s="1161">
        <f t="shared" si="66"/>
        <v>0</v>
      </c>
      <c r="F262" s="1162">
        <f>SUM(G262:K262)</f>
        <v>0</v>
      </c>
      <c r="G262" s="1163"/>
      <c r="H262" s="1163"/>
      <c r="I262" s="1163"/>
      <c r="J262" s="1163"/>
      <c r="K262" s="1163"/>
      <c r="L262" s="1163"/>
      <c r="M262" s="1161"/>
      <c r="N262" s="1163"/>
      <c r="O262" s="1163"/>
      <c r="P262" s="1163"/>
      <c r="Q262" s="1163"/>
      <c r="R262" s="1163"/>
      <c r="S262" s="1163"/>
      <c r="T262" s="1163"/>
      <c r="U262" s="1165"/>
      <c r="V262" s="1161">
        <f t="shared" si="70"/>
        <v>0</v>
      </c>
    </row>
    <row r="263" spans="1:22" ht="77.25" customHeight="1" x14ac:dyDescent="0.25">
      <c r="A263" s="1150" t="s">
        <v>1192</v>
      </c>
      <c r="B263" s="1169">
        <v>3140</v>
      </c>
      <c r="C263" s="1151" t="s">
        <v>977</v>
      </c>
      <c r="D263" s="1176" t="s">
        <v>312</v>
      </c>
      <c r="E263" s="1145">
        <f t="shared" si="66"/>
        <v>33476305</v>
      </c>
      <c r="F263" s="1172">
        <f t="shared" ref="F263:F283" si="72">SUM(G263:K263)</f>
        <v>33476305</v>
      </c>
      <c r="G263" s="1153"/>
      <c r="H263" s="1153"/>
      <c r="I263" s="1153"/>
      <c r="J263" s="1153"/>
      <c r="K263" s="1153">
        <f>25000000+8476305</f>
        <v>33476305</v>
      </c>
      <c r="L263" s="1153"/>
      <c r="M263" s="1145">
        <f t="shared" si="71"/>
        <v>0</v>
      </c>
      <c r="N263" s="1153"/>
      <c r="O263" s="1153"/>
      <c r="P263" s="1153"/>
      <c r="Q263" s="1153"/>
      <c r="R263" s="1153"/>
      <c r="S263" s="1153"/>
      <c r="T263" s="1153"/>
      <c r="U263" s="1154"/>
      <c r="V263" s="1145">
        <f t="shared" si="70"/>
        <v>33476305</v>
      </c>
    </row>
    <row r="264" spans="1:22" ht="83.25" customHeight="1" x14ac:dyDescent="0.25">
      <c r="A264" s="1150" t="s">
        <v>1193</v>
      </c>
      <c r="B264" s="1169">
        <v>3160</v>
      </c>
      <c r="C264" s="1151" t="s">
        <v>1189</v>
      </c>
      <c r="D264" s="1176" t="s">
        <v>314</v>
      </c>
      <c r="E264" s="1145">
        <f>F264+L264</f>
        <v>4698905</v>
      </c>
      <c r="F264" s="1172">
        <f>SUM(G264:K264)</f>
        <v>4698905</v>
      </c>
      <c r="G264" s="1172"/>
      <c r="H264" s="1172"/>
      <c r="I264" s="1172"/>
      <c r="J264" s="1172"/>
      <c r="K264" s="1172">
        <f>4198905+500000</f>
        <v>4698905</v>
      </c>
      <c r="L264" s="1172"/>
      <c r="M264" s="1145">
        <f t="shared" si="71"/>
        <v>0</v>
      </c>
      <c r="N264" s="1172"/>
      <c r="O264" s="1172"/>
      <c r="P264" s="1172"/>
      <c r="Q264" s="1172"/>
      <c r="R264" s="1172"/>
      <c r="S264" s="1172"/>
      <c r="T264" s="1172"/>
      <c r="U264" s="1180"/>
      <c r="V264" s="1145">
        <f t="shared" si="70"/>
        <v>4698905</v>
      </c>
    </row>
    <row r="265" spans="1:22" ht="34.5" hidden="1" customHeight="1" x14ac:dyDescent="0.25">
      <c r="A265" s="1150" t="s">
        <v>1194</v>
      </c>
      <c r="B265" s="1169">
        <v>3170</v>
      </c>
      <c r="C265" s="1151"/>
      <c r="D265" s="1176" t="s">
        <v>316</v>
      </c>
      <c r="E265" s="1145">
        <f>F265+L265</f>
        <v>0</v>
      </c>
      <c r="F265" s="1172">
        <f>SUM(G265:K265)</f>
        <v>0</v>
      </c>
      <c r="G265" s="1172"/>
      <c r="H265" s="1172"/>
      <c r="I265" s="1172"/>
      <c r="J265" s="1172"/>
      <c r="K265" s="1172">
        <f>K266+K268</f>
        <v>0</v>
      </c>
      <c r="L265" s="1172"/>
      <c r="M265" s="1145">
        <f t="shared" si="71"/>
        <v>0</v>
      </c>
      <c r="N265" s="1172"/>
      <c r="O265" s="1172"/>
      <c r="P265" s="1172"/>
      <c r="Q265" s="1172"/>
      <c r="R265" s="1172"/>
      <c r="S265" s="1172"/>
      <c r="T265" s="1172"/>
      <c r="U265" s="1180"/>
      <c r="V265" s="1145">
        <f t="shared" si="70"/>
        <v>0</v>
      </c>
    </row>
    <row r="266" spans="1:22" ht="64.95" hidden="1" customHeight="1" x14ac:dyDescent="0.25">
      <c r="A266" s="1150" t="s">
        <v>1195</v>
      </c>
      <c r="B266" s="1169">
        <v>3171</v>
      </c>
      <c r="C266" s="1228" t="s">
        <v>1189</v>
      </c>
      <c r="D266" s="1208" t="s">
        <v>318</v>
      </c>
      <c r="E266" s="1145">
        <f t="shared" si="66"/>
        <v>0</v>
      </c>
      <c r="F266" s="1172">
        <f t="shared" si="72"/>
        <v>0</v>
      </c>
      <c r="G266" s="1153"/>
      <c r="H266" s="1153"/>
      <c r="I266" s="1153"/>
      <c r="J266" s="1153"/>
      <c r="K266" s="1153"/>
      <c r="L266" s="1153"/>
      <c r="M266" s="1145">
        <f t="shared" si="71"/>
        <v>0</v>
      </c>
      <c r="N266" s="1153"/>
      <c r="O266" s="1153"/>
      <c r="P266" s="1153"/>
      <c r="Q266" s="1153"/>
      <c r="R266" s="1153"/>
      <c r="S266" s="1153"/>
      <c r="T266" s="1153"/>
      <c r="U266" s="1154"/>
      <c r="V266" s="1145">
        <f t="shared" si="70"/>
        <v>0</v>
      </c>
    </row>
    <row r="267" spans="1:22" ht="16.2" hidden="1" x14ac:dyDescent="0.25">
      <c r="A267" s="1150"/>
      <c r="B267" s="1169"/>
      <c r="C267" s="1228"/>
      <c r="D267" s="1186" t="s">
        <v>1102</v>
      </c>
      <c r="E267" s="1161">
        <f t="shared" si="66"/>
        <v>0</v>
      </c>
      <c r="F267" s="1162">
        <f t="shared" si="72"/>
        <v>0</v>
      </c>
      <c r="G267" s="1163"/>
      <c r="H267" s="1163"/>
      <c r="I267" s="1163"/>
      <c r="J267" s="1163"/>
      <c r="K267" s="1163">
        <f>K266</f>
        <v>0</v>
      </c>
      <c r="L267" s="1153"/>
      <c r="M267" s="1145">
        <f t="shared" si="71"/>
        <v>0</v>
      </c>
      <c r="N267" s="1153"/>
      <c r="O267" s="1153"/>
      <c r="P267" s="1153"/>
      <c r="Q267" s="1153"/>
      <c r="R267" s="1153"/>
      <c r="S267" s="1153"/>
      <c r="T267" s="1153"/>
      <c r="U267" s="1154"/>
      <c r="V267" s="1161">
        <f t="shared" si="70"/>
        <v>0</v>
      </c>
    </row>
    <row r="268" spans="1:22" ht="31.95" hidden="1" customHeight="1" x14ac:dyDescent="0.25">
      <c r="A268" s="1150" t="s">
        <v>1196</v>
      </c>
      <c r="B268" s="1169">
        <v>3172</v>
      </c>
      <c r="C268" s="1228" t="s">
        <v>1189</v>
      </c>
      <c r="D268" s="1242" t="s">
        <v>320</v>
      </c>
      <c r="E268" s="1145">
        <f t="shared" si="66"/>
        <v>0</v>
      </c>
      <c r="F268" s="1172">
        <f t="shared" si="72"/>
        <v>0</v>
      </c>
      <c r="G268" s="1153"/>
      <c r="H268" s="1153"/>
      <c r="I268" s="1153"/>
      <c r="J268" s="1153"/>
      <c r="K268" s="1153"/>
      <c r="L268" s="1153"/>
      <c r="M268" s="1145">
        <f t="shared" si="71"/>
        <v>0</v>
      </c>
      <c r="N268" s="1153"/>
      <c r="O268" s="1153"/>
      <c r="P268" s="1153"/>
      <c r="Q268" s="1153"/>
      <c r="R268" s="1153"/>
      <c r="S268" s="1153"/>
      <c r="T268" s="1153"/>
      <c r="U268" s="1154"/>
      <c r="V268" s="1145">
        <f t="shared" si="70"/>
        <v>0</v>
      </c>
    </row>
    <row r="269" spans="1:22" ht="16.2" hidden="1" x14ac:dyDescent="0.25">
      <c r="A269" s="1150"/>
      <c r="B269" s="1169"/>
      <c r="C269" s="1228"/>
      <c r="D269" s="1186" t="s">
        <v>904</v>
      </c>
      <c r="E269" s="1161">
        <f t="shared" si="66"/>
        <v>0</v>
      </c>
      <c r="F269" s="1162">
        <f t="shared" si="72"/>
        <v>0</v>
      </c>
      <c r="G269" s="1163"/>
      <c r="H269" s="1163"/>
      <c r="I269" s="1163"/>
      <c r="J269" s="1163"/>
      <c r="K269" s="1163">
        <f>K268</f>
        <v>0</v>
      </c>
      <c r="L269" s="1163"/>
      <c r="M269" s="1161">
        <f t="shared" si="71"/>
        <v>0</v>
      </c>
      <c r="N269" s="1163"/>
      <c r="O269" s="1163"/>
      <c r="P269" s="1163"/>
      <c r="Q269" s="1163"/>
      <c r="R269" s="1163"/>
      <c r="S269" s="1163"/>
      <c r="T269" s="1163"/>
      <c r="U269" s="1165"/>
      <c r="V269" s="1161">
        <f t="shared" si="70"/>
        <v>0</v>
      </c>
    </row>
    <row r="270" spans="1:22" ht="87.6" customHeight="1" x14ac:dyDescent="0.25">
      <c r="A270" s="1150" t="s">
        <v>1197</v>
      </c>
      <c r="B270" s="1169">
        <v>3180</v>
      </c>
      <c r="C270" s="1228">
        <v>1060</v>
      </c>
      <c r="D270" s="1208" t="s">
        <v>1198</v>
      </c>
      <c r="E270" s="1145">
        <f t="shared" si="66"/>
        <v>6714787</v>
      </c>
      <c r="F270" s="1172">
        <f t="shared" si="72"/>
        <v>6714787</v>
      </c>
      <c r="G270" s="1153"/>
      <c r="H270" s="1153"/>
      <c r="I270" s="1153"/>
      <c r="J270" s="1153"/>
      <c r="K270" s="1153">
        <f>4611189+2103598</f>
        <v>6714787</v>
      </c>
      <c r="L270" s="1153"/>
      <c r="M270" s="1145">
        <f t="shared" si="71"/>
        <v>0</v>
      </c>
      <c r="N270" s="1153"/>
      <c r="O270" s="1153"/>
      <c r="P270" s="1153"/>
      <c r="Q270" s="1153"/>
      <c r="R270" s="1153"/>
      <c r="S270" s="1153"/>
      <c r="T270" s="1153"/>
      <c r="U270" s="1154"/>
      <c r="V270" s="1145">
        <f t="shared" si="70"/>
        <v>6714787</v>
      </c>
    </row>
    <row r="271" spans="1:22" ht="15.6" hidden="1" x14ac:dyDescent="0.25">
      <c r="A271" s="1150" t="s">
        <v>1199</v>
      </c>
      <c r="B271" s="1169">
        <v>3190</v>
      </c>
      <c r="C271" s="1228"/>
      <c r="D271" s="1208" t="s">
        <v>324</v>
      </c>
      <c r="E271" s="1145">
        <f t="shared" ref="E271:E287" si="73">F271+L271</f>
        <v>1153274</v>
      </c>
      <c r="F271" s="1172">
        <f t="shared" si="72"/>
        <v>1153274</v>
      </c>
      <c r="G271" s="1153"/>
      <c r="H271" s="1153"/>
      <c r="I271" s="1153"/>
      <c r="J271" s="1153"/>
      <c r="K271" s="1153">
        <f>K272</f>
        <v>1153274</v>
      </c>
      <c r="L271" s="1153"/>
      <c r="M271" s="1145">
        <f t="shared" si="71"/>
        <v>0</v>
      </c>
      <c r="N271" s="1153"/>
      <c r="O271" s="1153"/>
      <c r="P271" s="1153"/>
      <c r="Q271" s="1153"/>
      <c r="R271" s="1153"/>
      <c r="S271" s="1153"/>
      <c r="T271" s="1153"/>
      <c r="U271" s="1154"/>
      <c r="V271" s="1145">
        <f t="shared" si="70"/>
        <v>1153274</v>
      </c>
    </row>
    <row r="272" spans="1:22" ht="45.6" customHeight="1" x14ac:dyDescent="0.25">
      <c r="A272" s="1150" t="s">
        <v>1200</v>
      </c>
      <c r="B272" s="1244">
        <v>3192</v>
      </c>
      <c r="C272" s="1228" t="s">
        <v>1126</v>
      </c>
      <c r="D272" s="1208" t="s">
        <v>1201</v>
      </c>
      <c r="E272" s="1145">
        <f t="shared" si="73"/>
        <v>1153274</v>
      </c>
      <c r="F272" s="1172">
        <f t="shared" si="72"/>
        <v>1153274</v>
      </c>
      <c r="G272" s="1153"/>
      <c r="H272" s="1153"/>
      <c r="I272" s="1153"/>
      <c r="J272" s="1153"/>
      <c r="K272" s="1153">
        <v>1153274</v>
      </c>
      <c r="L272" s="1153"/>
      <c r="M272" s="1145">
        <f t="shared" si="71"/>
        <v>0</v>
      </c>
      <c r="N272" s="1172"/>
      <c r="O272" s="1172"/>
      <c r="P272" s="1172"/>
      <c r="Q272" s="1172"/>
      <c r="R272" s="1172"/>
      <c r="S272" s="1172"/>
      <c r="T272" s="1172"/>
      <c r="U272" s="1180"/>
      <c r="V272" s="1145">
        <f t="shared" si="70"/>
        <v>1153274</v>
      </c>
    </row>
    <row r="273" spans="1:22" ht="18" hidden="1" customHeight="1" x14ac:dyDescent="0.25">
      <c r="A273" s="1150" t="s">
        <v>1202</v>
      </c>
      <c r="B273" s="1244">
        <v>3210</v>
      </c>
      <c r="C273" s="1228" t="s">
        <v>1203</v>
      </c>
      <c r="D273" s="1208" t="s">
        <v>328</v>
      </c>
      <c r="E273" s="1145">
        <f t="shared" si="73"/>
        <v>0</v>
      </c>
      <c r="F273" s="1172">
        <f t="shared" si="72"/>
        <v>0</v>
      </c>
      <c r="G273" s="1153"/>
      <c r="H273" s="1153">
        <f>H274</f>
        <v>0</v>
      </c>
      <c r="I273" s="1153">
        <f>I274</f>
        <v>0</v>
      </c>
      <c r="J273" s="1153">
        <f>J274</f>
        <v>0</v>
      </c>
      <c r="K273" s="1153"/>
      <c r="L273" s="1153">
        <f>L274</f>
        <v>0</v>
      </c>
      <c r="M273" s="1145">
        <f t="shared" si="71"/>
        <v>0</v>
      </c>
      <c r="N273" s="1172"/>
      <c r="O273" s="1172"/>
      <c r="P273" s="1172"/>
      <c r="Q273" s="1172"/>
      <c r="R273" s="1172"/>
      <c r="S273" s="1172"/>
      <c r="T273" s="1172"/>
      <c r="U273" s="1180"/>
      <c r="V273" s="1145">
        <f t="shared" si="70"/>
        <v>0</v>
      </c>
    </row>
    <row r="274" spans="1:22" ht="33.450000000000003" hidden="1" customHeight="1" x14ac:dyDescent="0.25">
      <c r="A274" s="1150"/>
      <c r="B274" s="1244"/>
      <c r="C274" s="1228"/>
      <c r="D274" s="1218" t="s">
        <v>1204</v>
      </c>
      <c r="E274" s="1161">
        <f t="shared" si="73"/>
        <v>0</v>
      </c>
      <c r="F274" s="1162">
        <f t="shared" si="72"/>
        <v>0</v>
      </c>
      <c r="G274" s="1153">
        <f>G273</f>
        <v>0</v>
      </c>
      <c r="H274" s="1153"/>
      <c r="I274" s="1153"/>
      <c r="J274" s="1153"/>
      <c r="K274" s="1163">
        <f>K273</f>
        <v>0</v>
      </c>
      <c r="L274" s="1153"/>
      <c r="M274" s="1145"/>
      <c r="N274" s="1172"/>
      <c r="O274" s="1172"/>
      <c r="P274" s="1172"/>
      <c r="Q274" s="1172"/>
      <c r="R274" s="1172"/>
      <c r="S274" s="1172"/>
      <c r="T274" s="1172"/>
      <c r="U274" s="1180"/>
      <c r="V274" s="1161">
        <f t="shared" si="70"/>
        <v>0</v>
      </c>
    </row>
    <row r="275" spans="1:22" ht="292.95" hidden="1" customHeight="1" x14ac:dyDescent="0.25">
      <c r="A275" s="1150" t="s">
        <v>1205</v>
      </c>
      <c r="B275" s="1244">
        <v>3221</v>
      </c>
      <c r="C275" s="1228" t="s">
        <v>1118</v>
      </c>
      <c r="D275" s="1240" t="s">
        <v>1206</v>
      </c>
      <c r="E275" s="1161"/>
      <c r="F275" s="1162"/>
      <c r="G275" s="1153"/>
      <c r="H275" s="1153"/>
      <c r="I275" s="1153"/>
      <c r="J275" s="1153"/>
      <c r="K275" s="1163"/>
      <c r="L275" s="1153"/>
      <c r="M275" s="1145">
        <f t="shared" ref="M275:M282" si="74">O275+T275</f>
        <v>0</v>
      </c>
      <c r="N275" s="1172">
        <f>T275</f>
        <v>0</v>
      </c>
      <c r="O275" s="1172"/>
      <c r="P275" s="1172"/>
      <c r="Q275" s="1172"/>
      <c r="R275" s="1172"/>
      <c r="S275" s="1172"/>
      <c r="T275" s="1172"/>
      <c r="U275" s="1180">
        <f>T275</f>
        <v>0</v>
      </c>
      <c r="V275" s="1145">
        <f t="shared" si="70"/>
        <v>0</v>
      </c>
    </row>
    <row r="276" spans="1:22" ht="16.2" hidden="1" x14ac:dyDescent="0.25">
      <c r="A276" s="1150"/>
      <c r="B276" s="1244"/>
      <c r="C276" s="1228"/>
      <c r="D276" s="1218" t="s">
        <v>1207</v>
      </c>
      <c r="E276" s="1161"/>
      <c r="F276" s="1162"/>
      <c r="G276" s="1153"/>
      <c r="H276" s="1153"/>
      <c r="I276" s="1153"/>
      <c r="J276" s="1153"/>
      <c r="K276" s="1163"/>
      <c r="L276" s="1153"/>
      <c r="M276" s="1145">
        <f t="shared" si="74"/>
        <v>0</v>
      </c>
      <c r="N276" s="1162">
        <f>N275</f>
        <v>0</v>
      </c>
      <c r="O276" s="1172"/>
      <c r="P276" s="1172"/>
      <c r="Q276" s="1172"/>
      <c r="R276" s="1172"/>
      <c r="S276" s="1172"/>
      <c r="T276" s="1162">
        <f>T275</f>
        <v>0</v>
      </c>
      <c r="U276" s="1167">
        <f>U275</f>
        <v>0</v>
      </c>
      <c r="V276" s="1145">
        <f t="shared" si="70"/>
        <v>0</v>
      </c>
    </row>
    <row r="277" spans="1:22" ht="290.39999999999998" hidden="1" customHeight="1" x14ac:dyDescent="0.25">
      <c r="A277" s="1150" t="s">
        <v>1208</v>
      </c>
      <c r="B277" s="1244">
        <v>3222</v>
      </c>
      <c r="C277" s="1228" t="s">
        <v>1118</v>
      </c>
      <c r="D277" s="1240" t="s">
        <v>1209</v>
      </c>
      <c r="E277" s="1161"/>
      <c r="F277" s="1162"/>
      <c r="G277" s="1153"/>
      <c r="H277" s="1153"/>
      <c r="I277" s="1153"/>
      <c r="J277" s="1153"/>
      <c r="K277" s="1163"/>
      <c r="L277" s="1153"/>
      <c r="M277" s="1145">
        <f t="shared" si="74"/>
        <v>0</v>
      </c>
      <c r="N277" s="1172">
        <f>T277</f>
        <v>0</v>
      </c>
      <c r="O277" s="1172"/>
      <c r="P277" s="1172"/>
      <c r="Q277" s="1172"/>
      <c r="R277" s="1172"/>
      <c r="S277" s="1172"/>
      <c r="T277" s="1172"/>
      <c r="U277" s="1180">
        <f>T277</f>
        <v>0</v>
      </c>
      <c r="V277" s="1145">
        <f t="shared" si="70"/>
        <v>0</v>
      </c>
    </row>
    <row r="278" spans="1:22" ht="16.2" hidden="1" x14ac:dyDescent="0.25">
      <c r="A278" s="1150"/>
      <c r="B278" s="1244"/>
      <c r="C278" s="1228"/>
      <c r="D278" s="1218" t="s">
        <v>1207</v>
      </c>
      <c r="E278" s="1161"/>
      <c r="F278" s="1162"/>
      <c r="G278" s="1153"/>
      <c r="H278" s="1153"/>
      <c r="I278" s="1153"/>
      <c r="J278" s="1153"/>
      <c r="K278" s="1163"/>
      <c r="L278" s="1153"/>
      <c r="M278" s="1145">
        <f t="shared" si="74"/>
        <v>0</v>
      </c>
      <c r="N278" s="1162">
        <f>N277</f>
        <v>0</v>
      </c>
      <c r="O278" s="1172"/>
      <c r="P278" s="1172"/>
      <c r="Q278" s="1172"/>
      <c r="R278" s="1172"/>
      <c r="S278" s="1172"/>
      <c r="T278" s="1162">
        <f>T277</f>
        <v>0</v>
      </c>
      <c r="U278" s="1167">
        <f>U277</f>
        <v>0</v>
      </c>
      <c r="V278" s="1145">
        <f t="shared" si="70"/>
        <v>0</v>
      </c>
    </row>
    <row r="279" spans="1:22" ht="201.6" hidden="1" customHeight="1" x14ac:dyDescent="0.25">
      <c r="A279" s="1150" t="s">
        <v>1210</v>
      </c>
      <c r="B279" s="1244">
        <v>3223</v>
      </c>
      <c r="C279" s="1228" t="s">
        <v>1118</v>
      </c>
      <c r="D279" s="1240" t="s">
        <v>336</v>
      </c>
      <c r="E279" s="1161"/>
      <c r="F279" s="1162"/>
      <c r="G279" s="1153"/>
      <c r="H279" s="1153"/>
      <c r="I279" s="1153"/>
      <c r="J279" s="1153"/>
      <c r="K279" s="1163"/>
      <c r="L279" s="1153"/>
      <c r="M279" s="1145">
        <f t="shared" si="74"/>
        <v>0</v>
      </c>
      <c r="N279" s="1172">
        <f>T279</f>
        <v>0</v>
      </c>
      <c r="O279" s="1172"/>
      <c r="P279" s="1172"/>
      <c r="Q279" s="1172"/>
      <c r="R279" s="1172"/>
      <c r="S279" s="1172"/>
      <c r="T279" s="1172"/>
      <c r="U279" s="1180">
        <f>T279</f>
        <v>0</v>
      </c>
      <c r="V279" s="1145">
        <f t="shared" si="70"/>
        <v>0</v>
      </c>
    </row>
    <row r="280" spans="1:22" ht="16.2" hidden="1" x14ac:dyDescent="0.25">
      <c r="A280" s="1150"/>
      <c r="B280" s="1244"/>
      <c r="C280" s="1228"/>
      <c r="D280" s="1218" t="s">
        <v>1207</v>
      </c>
      <c r="E280" s="1161"/>
      <c r="F280" s="1162"/>
      <c r="G280" s="1153"/>
      <c r="H280" s="1153"/>
      <c r="I280" s="1153"/>
      <c r="J280" s="1153"/>
      <c r="K280" s="1163"/>
      <c r="L280" s="1153"/>
      <c r="M280" s="1145">
        <f t="shared" si="74"/>
        <v>0</v>
      </c>
      <c r="N280" s="1162">
        <f>N279</f>
        <v>0</v>
      </c>
      <c r="O280" s="1172"/>
      <c r="P280" s="1172"/>
      <c r="Q280" s="1172"/>
      <c r="R280" s="1172"/>
      <c r="S280" s="1172"/>
      <c r="T280" s="1162">
        <f>T279</f>
        <v>0</v>
      </c>
      <c r="U280" s="1167">
        <f>U279</f>
        <v>0</v>
      </c>
      <c r="V280" s="1145">
        <f t="shared" si="70"/>
        <v>0</v>
      </c>
    </row>
    <row r="281" spans="1:22" ht="151.80000000000001" hidden="1" x14ac:dyDescent="0.25">
      <c r="A281" s="1150" t="s">
        <v>1211</v>
      </c>
      <c r="B281" s="1244">
        <v>3224</v>
      </c>
      <c r="C281" s="1228" t="s">
        <v>1118</v>
      </c>
      <c r="D281" s="1240" t="s">
        <v>1212</v>
      </c>
      <c r="E281" s="1161"/>
      <c r="F281" s="1162"/>
      <c r="G281" s="1153"/>
      <c r="H281" s="1153"/>
      <c r="I281" s="1153"/>
      <c r="J281" s="1153"/>
      <c r="K281" s="1163"/>
      <c r="L281" s="1153"/>
      <c r="M281" s="1145">
        <f t="shared" si="74"/>
        <v>0</v>
      </c>
      <c r="N281" s="1172">
        <f>T281</f>
        <v>0</v>
      </c>
      <c r="O281" s="1172"/>
      <c r="P281" s="1172"/>
      <c r="Q281" s="1172"/>
      <c r="R281" s="1172"/>
      <c r="S281" s="1172"/>
      <c r="T281" s="1172"/>
      <c r="U281" s="1180">
        <f>T281</f>
        <v>0</v>
      </c>
      <c r="V281" s="1145">
        <f t="shared" si="70"/>
        <v>0</v>
      </c>
    </row>
    <row r="282" spans="1:22" ht="16.2" hidden="1" x14ac:dyDescent="0.25">
      <c r="A282" s="1150"/>
      <c r="B282" s="1244"/>
      <c r="C282" s="1228"/>
      <c r="D282" s="1218" t="s">
        <v>1213</v>
      </c>
      <c r="E282" s="1161"/>
      <c r="F282" s="1162"/>
      <c r="G282" s="1153"/>
      <c r="H282" s="1153"/>
      <c r="I282" s="1153"/>
      <c r="J282" s="1153"/>
      <c r="K282" s="1163"/>
      <c r="L282" s="1153"/>
      <c r="M282" s="1145">
        <f t="shared" si="74"/>
        <v>0</v>
      </c>
      <c r="N282" s="1162">
        <f>N281</f>
        <v>0</v>
      </c>
      <c r="O282" s="1172"/>
      <c r="P282" s="1172"/>
      <c r="Q282" s="1172"/>
      <c r="R282" s="1172"/>
      <c r="S282" s="1172"/>
      <c r="T282" s="1162">
        <f>T281</f>
        <v>0</v>
      </c>
      <c r="U282" s="1167">
        <f>U281</f>
        <v>0</v>
      </c>
      <c r="V282" s="1145">
        <f t="shared" si="70"/>
        <v>0</v>
      </c>
    </row>
    <row r="283" spans="1:22" ht="49.2" hidden="1" customHeight="1" x14ac:dyDescent="0.25">
      <c r="A283" s="1150" t="s">
        <v>1214</v>
      </c>
      <c r="B283" s="1244">
        <v>3230</v>
      </c>
      <c r="C283" s="1245">
        <v>1070</v>
      </c>
      <c r="D283" s="1246" t="s">
        <v>981</v>
      </c>
      <c r="E283" s="1145">
        <f t="shared" si="73"/>
        <v>0</v>
      </c>
      <c r="F283" s="1172">
        <f t="shared" si="72"/>
        <v>0</v>
      </c>
      <c r="G283" s="1153"/>
      <c r="H283" s="1153"/>
      <c r="I283" s="1153"/>
      <c r="J283" s="1153"/>
      <c r="K283" s="1153"/>
      <c r="L283" s="1153"/>
      <c r="M283" s="1145">
        <f>O283+T283</f>
        <v>0</v>
      </c>
      <c r="N283" s="1172">
        <f>T283</f>
        <v>0</v>
      </c>
      <c r="O283" s="1172"/>
      <c r="P283" s="1172"/>
      <c r="Q283" s="1172"/>
      <c r="R283" s="1172"/>
      <c r="S283" s="1172"/>
      <c r="T283" s="1172"/>
      <c r="U283" s="1180"/>
      <c r="V283" s="1145">
        <f t="shared" si="70"/>
        <v>0</v>
      </c>
    </row>
    <row r="284" spans="1:22" s="1166" customFormat="1" ht="16.2" hidden="1" x14ac:dyDescent="0.25">
      <c r="A284" s="1159"/>
      <c r="B284" s="1247"/>
      <c r="C284" s="1243"/>
      <c r="D284" s="1186" t="s">
        <v>1128</v>
      </c>
      <c r="E284" s="1161">
        <f t="shared" si="73"/>
        <v>0</v>
      </c>
      <c r="F284" s="1162">
        <f>F283</f>
        <v>0</v>
      </c>
      <c r="G284" s="1163"/>
      <c r="H284" s="1163"/>
      <c r="I284" s="1163"/>
      <c r="J284" s="1163"/>
      <c r="K284" s="1163">
        <f>K283</f>
        <v>0</v>
      </c>
      <c r="L284" s="1163"/>
      <c r="M284" s="1161"/>
      <c r="N284" s="1162"/>
      <c r="O284" s="1162"/>
      <c r="P284" s="1162"/>
      <c r="Q284" s="1162"/>
      <c r="R284" s="1162"/>
      <c r="S284" s="1162"/>
      <c r="T284" s="1162"/>
      <c r="U284" s="1167"/>
      <c r="V284" s="1161">
        <f t="shared" si="70"/>
        <v>0</v>
      </c>
    </row>
    <row r="285" spans="1:22" ht="15.6" hidden="1" customHeight="1" x14ac:dyDescent="0.25">
      <c r="A285" s="1150" t="s">
        <v>1215</v>
      </c>
      <c r="B285" s="1244">
        <v>3240</v>
      </c>
      <c r="C285" s="1228"/>
      <c r="D285" s="1208" t="s">
        <v>340</v>
      </c>
      <c r="E285" s="1145">
        <f t="shared" si="73"/>
        <v>126407719</v>
      </c>
      <c r="F285" s="1172">
        <f>SUM(G285:K285)</f>
        <v>126407719</v>
      </c>
      <c r="G285" s="1153">
        <f t="shared" ref="G285:L285" si="75">G286</f>
        <v>0</v>
      </c>
      <c r="H285" s="1153">
        <f t="shared" si="75"/>
        <v>0</v>
      </c>
      <c r="I285" s="1153">
        <f t="shared" si="75"/>
        <v>0</v>
      </c>
      <c r="J285" s="1153">
        <f t="shared" si="75"/>
        <v>0</v>
      </c>
      <c r="K285" s="1153">
        <f t="shared" si="75"/>
        <v>126407719</v>
      </c>
      <c r="L285" s="1153">
        <f t="shared" si="75"/>
        <v>0</v>
      </c>
      <c r="M285" s="1145">
        <f>O285+T285</f>
        <v>0</v>
      </c>
      <c r="N285" s="1172">
        <f>N286</f>
        <v>0</v>
      </c>
      <c r="O285" s="1172">
        <f t="shared" ref="O285:U285" si="76">O286</f>
        <v>0</v>
      </c>
      <c r="P285" s="1172">
        <f t="shared" si="76"/>
        <v>0</v>
      </c>
      <c r="Q285" s="1172">
        <f t="shared" si="76"/>
        <v>0</v>
      </c>
      <c r="R285" s="1172">
        <f t="shared" si="76"/>
        <v>0</v>
      </c>
      <c r="S285" s="1172">
        <f t="shared" si="76"/>
        <v>0</v>
      </c>
      <c r="T285" s="1172">
        <f t="shared" si="76"/>
        <v>0</v>
      </c>
      <c r="U285" s="1180">
        <f t="shared" si="76"/>
        <v>0</v>
      </c>
      <c r="V285" s="1145">
        <f t="shared" si="70"/>
        <v>126407719</v>
      </c>
    </row>
    <row r="286" spans="1:22" ht="36" customHeight="1" x14ac:dyDescent="0.25">
      <c r="A286" s="1150" t="s">
        <v>1216</v>
      </c>
      <c r="B286" s="1244">
        <v>3242</v>
      </c>
      <c r="C286" s="1228" t="s">
        <v>984</v>
      </c>
      <c r="D286" s="1208" t="s">
        <v>344</v>
      </c>
      <c r="E286" s="1145">
        <f>F286+L286</f>
        <v>126407719</v>
      </c>
      <c r="F286" s="1172">
        <f>SUM(G286:K286)</f>
        <v>126407719</v>
      </c>
      <c r="G286" s="1172"/>
      <c r="H286" s="1172"/>
      <c r="I286" s="1172"/>
      <c r="J286" s="1172"/>
      <c r="K286" s="1180">
        <f>180501079-7647000+13259640-59706000</f>
        <v>126407719</v>
      </c>
      <c r="L286" s="1153"/>
      <c r="M286" s="1145">
        <f>O286+T286</f>
        <v>0</v>
      </c>
      <c r="N286" s="1172">
        <f>T286</f>
        <v>0</v>
      </c>
      <c r="O286" s="1172"/>
      <c r="P286" s="1172"/>
      <c r="Q286" s="1172"/>
      <c r="R286" s="1172"/>
      <c r="S286" s="1172"/>
      <c r="T286" s="1172"/>
      <c r="U286" s="1180"/>
      <c r="V286" s="1145">
        <f t="shared" si="70"/>
        <v>126407719</v>
      </c>
    </row>
    <row r="287" spans="1:22" ht="16.2" hidden="1" x14ac:dyDescent="0.25">
      <c r="A287" s="1150"/>
      <c r="B287" s="1244"/>
      <c r="C287" s="1228"/>
      <c r="D287" s="1186" t="s">
        <v>1102</v>
      </c>
      <c r="E287" s="1161">
        <f t="shared" si="73"/>
        <v>0</v>
      </c>
      <c r="F287" s="1162">
        <f>SUM(G287:K287)</f>
        <v>0</v>
      </c>
      <c r="G287" s="1162"/>
      <c r="H287" s="1162"/>
      <c r="I287" s="1162"/>
      <c r="J287" s="1162"/>
      <c r="K287" s="1162"/>
      <c r="L287" s="1153"/>
      <c r="M287" s="1145"/>
      <c r="N287" s="1172"/>
      <c r="O287" s="1172"/>
      <c r="P287" s="1172"/>
      <c r="Q287" s="1172"/>
      <c r="R287" s="1172"/>
      <c r="S287" s="1172"/>
      <c r="T287" s="1172"/>
      <c r="U287" s="1180"/>
      <c r="V287" s="1161">
        <f t="shared" si="70"/>
        <v>0</v>
      </c>
    </row>
    <row r="288" spans="1:22" ht="51.6" hidden="1" customHeight="1" x14ac:dyDescent="0.25">
      <c r="A288" s="1150"/>
      <c r="B288" s="1244"/>
      <c r="C288" s="1191"/>
      <c r="D288" s="1160" t="s">
        <v>1217</v>
      </c>
      <c r="E288" s="1161">
        <f>F288</f>
        <v>0</v>
      </c>
      <c r="F288" s="1162">
        <f>SUM(G288:K288)</f>
        <v>0</v>
      </c>
      <c r="G288" s="1162"/>
      <c r="H288" s="1162"/>
      <c r="I288" s="1162"/>
      <c r="J288" s="1162"/>
      <c r="K288" s="1162"/>
      <c r="L288" s="1153"/>
      <c r="M288" s="1178"/>
      <c r="N288" s="1172"/>
      <c r="O288" s="1172"/>
      <c r="P288" s="1172"/>
      <c r="Q288" s="1172"/>
      <c r="R288" s="1172"/>
      <c r="S288" s="1172"/>
      <c r="T288" s="1172"/>
      <c r="U288" s="1180"/>
      <c r="V288" s="1161">
        <f t="shared" si="70"/>
        <v>0</v>
      </c>
    </row>
    <row r="289" spans="1:24" ht="69" hidden="1" x14ac:dyDescent="0.25">
      <c r="A289" s="1150" t="s">
        <v>1218</v>
      </c>
      <c r="B289" s="1244"/>
      <c r="C289" s="1228" t="s">
        <v>1026</v>
      </c>
      <c r="D289" s="1197" t="s">
        <v>1219</v>
      </c>
      <c r="E289" s="1145"/>
      <c r="F289" s="1172"/>
      <c r="G289" s="1153"/>
      <c r="H289" s="1153"/>
      <c r="I289" s="1153"/>
      <c r="J289" s="1153"/>
      <c r="K289" s="1153"/>
      <c r="L289" s="1153"/>
      <c r="M289" s="1145">
        <f t="shared" ref="M289:M296" si="77">O289+T289</f>
        <v>0</v>
      </c>
      <c r="N289" s="1172">
        <f>T289</f>
        <v>0</v>
      </c>
      <c r="O289" s="1172"/>
      <c r="P289" s="1172"/>
      <c r="Q289" s="1172"/>
      <c r="R289" s="1172"/>
      <c r="S289" s="1172"/>
      <c r="T289" s="1172">
        <f>1000000-1000000</f>
        <v>0</v>
      </c>
      <c r="U289" s="1180"/>
      <c r="V289" s="1145">
        <f t="shared" si="70"/>
        <v>0</v>
      </c>
    </row>
    <row r="290" spans="1:24" s="1166" customFormat="1" ht="16.2" hidden="1" x14ac:dyDescent="0.25">
      <c r="A290" s="1159"/>
      <c r="B290" s="1247"/>
      <c r="C290" s="1226"/>
      <c r="D290" s="1198" t="s">
        <v>1213</v>
      </c>
      <c r="E290" s="1161"/>
      <c r="F290" s="1162"/>
      <c r="G290" s="1163"/>
      <c r="H290" s="1163"/>
      <c r="I290" s="1163"/>
      <c r="J290" s="1163"/>
      <c r="K290" s="1163"/>
      <c r="L290" s="1163"/>
      <c r="M290" s="1161">
        <f t="shared" si="77"/>
        <v>0</v>
      </c>
      <c r="N290" s="1162">
        <f>N289</f>
        <v>0</v>
      </c>
      <c r="O290" s="1162"/>
      <c r="P290" s="1162"/>
      <c r="Q290" s="1162"/>
      <c r="R290" s="1162"/>
      <c r="S290" s="1162"/>
      <c r="T290" s="1162">
        <f>T289</f>
        <v>0</v>
      </c>
      <c r="U290" s="1167">
        <f>U289</f>
        <v>0</v>
      </c>
      <c r="V290" s="1161">
        <f t="shared" si="70"/>
        <v>0</v>
      </c>
    </row>
    <row r="291" spans="1:24" ht="69" hidden="1" x14ac:dyDescent="0.25">
      <c r="A291" s="1150" t="s">
        <v>1218</v>
      </c>
      <c r="B291" s="1244">
        <v>6083</v>
      </c>
      <c r="C291" s="1228" t="s">
        <v>1026</v>
      </c>
      <c r="D291" s="1197" t="s">
        <v>1220</v>
      </c>
      <c r="E291" s="1145"/>
      <c r="F291" s="1172"/>
      <c r="G291" s="1153"/>
      <c r="H291" s="1153"/>
      <c r="I291" s="1153"/>
      <c r="J291" s="1153"/>
      <c r="K291" s="1153"/>
      <c r="L291" s="1153"/>
      <c r="M291" s="1145">
        <f t="shared" si="77"/>
        <v>0</v>
      </c>
      <c r="N291" s="1172">
        <f>T291</f>
        <v>0</v>
      </c>
      <c r="O291" s="1172"/>
      <c r="P291" s="1172"/>
      <c r="Q291" s="1172"/>
      <c r="R291" s="1172"/>
      <c r="S291" s="1172"/>
      <c r="T291" s="1172"/>
      <c r="U291" s="1180"/>
      <c r="V291" s="1145">
        <f t="shared" si="70"/>
        <v>0</v>
      </c>
    </row>
    <row r="292" spans="1:24" s="1166" customFormat="1" ht="82.8" hidden="1" x14ac:dyDescent="0.25">
      <c r="A292" s="1159"/>
      <c r="B292" s="1247"/>
      <c r="C292" s="1226"/>
      <c r="D292" s="1198" t="s">
        <v>1221</v>
      </c>
      <c r="E292" s="1161"/>
      <c r="F292" s="1162"/>
      <c r="G292" s="1163"/>
      <c r="H292" s="1163"/>
      <c r="I292" s="1163"/>
      <c r="J292" s="1163"/>
      <c r="K292" s="1163"/>
      <c r="L292" s="1163"/>
      <c r="M292" s="1161">
        <f t="shared" si="77"/>
        <v>0</v>
      </c>
      <c r="N292" s="1162">
        <f>N291</f>
        <v>0</v>
      </c>
      <c r="O292" s="1162"/>
      <c r="P292" s="1162"/>
      <c r="Q292" s="1162"/>
      <c r="R292" s="1162"/>
      <c r="S292" s="1162"/>
      <c r="T292" s="1162"/>
      <c r="U292" s="1167"/>
      <c r="V292" s="1161">
        <f t="shared" si="70"/>
        <v>0</v>
      </c>
    </row>
    <row r="293" spans="1:24" ht="15.6" hidden="1" x14ac:dyDescent="0.25">
      <c r="A293" s="1150" t="s">
        <v>1222</v>
      </c>
      <c r="B293" s="1244">
        <v>7323</v>
      </c>
      <c r="C293" s="1228" t="s">
        <v>1023</v>
      </c>
      <c r="D293" s="1197" t="s">
        <v>1223</v>
      </c>
      <c r="E293" s="1145"/>
      <c r="F293" s="1172"/>
      <c r="G293" s="1153"/>
      <c r="H293" s="1153"/>
      <c r="I293" s="1153"/>
      <c r="J293" s="1153"/>
      <c r="K293" s="1153"/>
      <c r="L293" s="1153"/>
      <c r="M293" s="1145">
        <f t="shared" si="77"/>
        <v>0</v>
      </c>
      <c r="N293" s="1172">
        <f>T293</f>
        <v>0</v>
      </c>
      <c r="O293" s="1172"/>
      <c r="P293" s="1172"/>
      <c r="Q293" s="1172"/>
      <c r="R293" s="1172"/>
      <c r="S293" s="1172"/>
      <c r="T293" s="1172"/>
      <c r="U293" s="1180"/>
      <c r="V293" s="1145">
        <f t="shared" si="70"/>
        <v>0</v>
      </c>
    </row>
    <row r="294" spans="1:24" ht="15.6" hidden="1" x14ac:dyDescent="0.25">
      <c r="A294" s="1150" t="s">
        <v>1224</v>
      </c>
      <c r="B294" s="1244">
        <v>7330</v>
      </c>
      <c r="C294" s="1228" t="s">
        <v>1023</v>
      </c>
      <c r="D294" s="1197" t="s">
        <v>427</v>
      </c>
      <c r="E294" s="1145"/>
      <c r="F294" s="1172"/>
      <c r="G294" s="1153"/>
      <c r="H294" s="1153"/>
      <c r="I294" s="1153"/>
      <c r="J294" s="1153"/>
      <c r="K294" s="1153"/>
      <c r="L294" s="1153"/>
      <c r="M294" s="1145">
        <f t="shared" si="77"/>
        <v>0</v>
      </c>
      <c r="N294" s="1172">
        <f>T294</f>
        <v>0</v>
      </c>
      <c r="O294" s="1172"/>
      <c r="P294" s="1172"/>
      <c r="Q294" s="1172"/>
      <c r="R294" s="1172"/>
      <c r="S294" s="1172"/>
      <c r="T294" s="1172"/>
      <c r="U294" s="1180"/>
      <c r="V294" s="1145">
        <f t="shared" si="70"/>
        <v>0</v>
      </c>
    </row>
    <row r="295" spans="1:24" ht="33" hidden="1" customHeight="1" x14ac:dyDescent="0.25">
      <c r="A295" s="1248" t="s">
        <v>1225</v>
      </c>
      <c r="B295" s="1244">
        <v>7366</v>
      </c>
      <c r="C295" s="1228" t="s">
        <v>1038</v>
      </c>
      <c r="D295" s="1197" t="s">
        <v>1226</v>
      </c>
      <c r="E295" s="1161">
        <f>F295</f>
        <v>0</v>
      </c>
      <c r="F295" s="1172"/>
      <c r="G295" s="1153"/>
      <c r="H295" s="1153"/>
      <c r="I295" s="1153"/>
      <c r="J295" s="1153"/>
      <c r="K295" s="1153"/>
      <c r="L295" s="1153"/>
      <c r="M295" s="1145">
        <f t="shared" si="77"/>
        <v>0</v>
      </c>
      <c r="N295" s="1172">
        <f>T295</f>
        <v>0</v>
      </c>
      <c r="O295" s="1172"/>
      <c r="P295" s="1172"/>
      <c r="Q295" s="1172"/>
      <c r="R295" s="1172"/>
      <c r="S295" s="1172"/>
      <c r="T295" s="1172"/>
      <c r="U295" s="1180"/>
      <c r="V295" s="1145">
        <f t="shared" si="70"/>
        <v>0</v>
      </c>
    </row>
    <row r="296" spans="1:24" s="1166" customFormat="1" ht="16.2" hidden="1" x14ac:dyDescent="0.25">
      <c r="A296" s="1159"/>
      <c r="B296" s="1247"/>
      <c r="C296" s="1226"/>
      <c r="D296" s="1198" t="s">
        <v>1227</v>
      </c>
      <c r="E296" s="1161">
        <f>F296</f>
        <v>0</v>
      </c>
      <c r="F296" s="1162"/>
      <c r="G296" s="1163"/>
      <c r="H296" s="1163"/>
      <c r="I296" s="1163"/>
      <c r="J296" s="1163"/>
      <c r="K296" s="1163"/>
      <c r="L296" s="1163"/>
      <c r="M296" s="1161">
        <f t="shared" si="77"/>
        <v>0</v>
      </c>
      <c r="N296" s="1162">
        <f>T296</f>
        <v>0</v>
      </c>
      <c r="O296" s="1162"/>
      <c r="P296" s="1162"/>
      <c r="Q296" s="1162"/>
      <c r="R296" s="1162"/>
      <c r="S296" s="1162"/>
      <c r="T296" s="1162"/>
      <c r="U296" s="1167"/>
      <c r="V296" s="1161">
        <f t="shared" si="70"/>
        <v>0</v>
      </c>
    </row>
    <row r="297" spans="1:24" s="1147" customFormat="1" ht="15.6" x14ac:dyDescent="0.25">
      <c r="A297" s="1142" t="s">
        <v>1228</v>
      </c>
      <c r="B297" s="1214"/>
      <c r="C297" s="1215"/>
      <c r="D297" s="1144" t="s">
        <v>1229</v>
      </c>
      <c r="E297" s="1216">
        <f>E298</f>
        <v>13398851</v>
      </c>
      <c r="F297" s="1216">
        <f>F298</f>
        <v>13398851</v>
      </c>
      <c r="G297" s="1216">
        <f t="shared" ref="G297:O298" si="78">G298</f>
        <v>10740540</v>
      </c>
      <c r="H297" s="1216">
        <f t="shared" si="78"/>
        <v>0</v>
      </c>
      <c r="I297" s="1216">
        <f t="shared" si="78"/>
        <v>0</v>
      </c>
      <c r="J297" s="1216">
        <f t="shared" si="78"/>
        <v>0</v>
      </c>
      <c r="K297" s="1216">
        <f t="shared" si="78"/>
        <v>2658311</v>
      </c>
      <c r="L297" s="1216">
        <f t="shared" si="78"/>
        <v>0</v>
      </c>
      <c r="M297" s="1216">
        <f>M298</f>
        <v>0</v>
      </c>
      <c r="N297" s="1216">
        <f t="shared" ref="N297:U298" si="79">N298</f>
        <v>0</v>
      </c>
      <c r="O297" s="1216">
        <f t="shared" si="78"/>
        <v>0</v>
      </c>
      <c r="P297" s="1216">
        <f t="shared" si="79"/>
        <v>0</v>
      </c>
      <c r="Q297" s="1216">
        <f t="shared" si="79"/>
        <v>0</v>
      </c>
      <c r="R297" s="1216">
        <f t="shared" si="79"/>
        <v>0</v>
      </c>
      <c r="S297" s="1216">
        <f t="shared" si="79"/>
        <v>0</v>
      </c>
      <c r="T297" s="1216">
        <f t="shared" si="79"/>
        <v>0</v>
      </c>
      <c r="U297" s="1217">
        <f t="shared" si="79"/>
        <v>0</v>
      </c>
      <c r="V297" s="1145">
        <f>V298</f>
        <v>13398851</v>
      </c>
    </row>
    <row r="298" spans="1:24" s="1147" customFormat="1" ht="15.6" x14ac:dyDescent="0.25">
      <c r="A298" s="1142" t="s">
        <v>1230</v>
      </c>
      <c r="B298" s="1214"/>
      <c r="C298" s="1215"/>
      <c r="D298" s="1144" t="s">
        <v>1229</v>
      </c>
      <c r="E298" s="1216">
        <f>E299+E300</f>
        <v>13398851</v>
      </c>
      <c r="F298" s="1216">
        <f>F299+F300</f>
        <v>13398851</v>
      </c>
      <c r="G298" s="1216">
        <f t="shared" si="78"/>
        <v>10740540</v>
      </c>
      <c r="H298" s="1216">
        <f t="shared" si="78"/>
        <v>0</v>
      </c>
      <c r="I298" s="1216">
        <f t="shared" si="78"/>
        <v>0</v>
      </c>
      <c r="J298" s="1216">
        <f t="shared" si="78"/>
        <v>0</v>
      </c>
      <c r="K298" s="1216">
        <f>K299+K300</f>
        <v>2658311</v>
      </c>
      <c r="L298" s="1216">
        <f t="shared" si="78"/>
        <v>0</v>
      </c>
      <c r="M298" s="1216">
        <f>M299</f>
        <v>0</v>
      </c>
      <c r="N298" s="1216">
        <f>N299</f>
        <v>0</v>
      </c>
      <c r="O298" s="1216">
        <f t="shared" si="78"/>
        <v>0</v>
      </c>
      <c r="P298" s="1216">
        <f t="shared" si="79"/>
        <v>0</v>
      </c>
      <c r="Q298" s="1216">
        <f t="shared" si="79"/>
        <v>0</v>
      </c>
      <c r="R298" s="1216">
        <f t="shared" si="79"/>
        <v>0</v>
      </c>
      <c r="S298" s="1216">
        <f t="shared" si="79"/>
        <v>0</v>
      </c>
      <c r="T298" s="1216">
        <f t="shared" si="79"/>
        <v>0</v>
      </c>
      <c r="U298" s="1217">
        <f t="shared" si="79"/>
        <v>0</v>
      </c>
      <c r="V298" s="1145">
        <f>V299+V300</f>
        <v>13398851</v>
      </c>
    </row>
    <row r="299" spans="1:24" ht="46.95" customHeight="1" x14ac:dyDescent="0.25">
      <c r="A299" s="1150" t="s">
        <v>1231</v>
      </c>
      <c r="B299" s="1151" t="s">
        <v>273</v>
      </c>
      <c r="C299" s="1151" t="s">
        <v>885</v>
      </c>
      <c r="D299" s="1152" t="s">
        <v>886</v>
      </c>
      <c r="E299" s="1145">
        <f>F299</f>
        <v>13102851</v>
      </c>
      <c r="F299" s="1153">
        <f>SUM(G299:K299)</f>
        <v>13102851</v>
      </c>
      <c r="G299" s="1153">
        <v>10740540</v>
      </c>
      <c r="H299" s="1181"/>
      <c r="I299" s="1181"/>
      <c r="J299" s="1153"/>
      <c r="K299" s="1153">
        <f>12972551-10740540+130300</f>
        <v>2362311</v>
      </c>
      <c r="L299" s="1181"/>
      <c r="M299" s="1145">
        <f>SUM(O299,T299)</f>
        <v>0</v>
      </c>
      <c r="N299" s="1153">
        <f>T299</f>
        <v>0</v>
      </c>
      <c r="O299" s="1181"/>
      <c r="P299" s="1181"/>
      <c r="Q299" s="1181"/>
      <c r="R299" s="1181"/>
      <c r="S299" s="1181"/>
      <c r="T299" s="1153"/>
      <c r="U299" s="1154"/>
      <c r="V299" s="1145">
        <f t="shared" si="70"/>
        <v>13102851</v>
      </c>
    </row>
    <row r="300" spans="1:24" ht="46.95" customHeight="1" x14ac:dyDescent="0.25">
      <c r="A300" s="1150" t="s">
        <v>1232</v>
      </c>
      <c r="B300" s="1151" t="s">
        <v>305</v>
      </c>
      <c r="C300" s="1151" t="s">
        <v>977</v>
      </c>
      <c r="D300" s="1152" t="s">
        <v>304</v>
      </c>
      <c r="E300" s="1145">
        <f>F300</f>
        <v>296000</v>
      </c>
      <c r="F300" s="1153">
        <f>SUM(G300:K300)</f>
        <v>296000</v>
      </c>
      <c r="G300" s="1153"/>
      <c r="H300" s="1181"/>
      <c r="I300" s="1181"/>
      <c r="J300" s="1153"/>
      <c r="K300" s="1153">
        <f>426300-130300</f>
        <v>296000</v>
      </c>
      <c r="L300" s="1181"/>
      <c r="M300" s="1145"/>
      <c r="N300" s="1153"/>
      <c r="O300" s="1181"/>
      <c r="P300" s="1181"/>
      <c r="Q300" s="1181"/>
      <c r="R300" s="1181"/>
      <c r="S300" s="1181"/>
      <c r="T300" s="1153"/>
      <c r="U300" s="1154"/>
      <c r="V300" s="1145">
        <f t="shared" si="70"/>
        <v>296000</v>
      </c>
    </row>
    <row r="301" spans="1:24" s="1147" customFormat="1" ht="33" customHeight="1" x14ac:dyDescent="0.25">
      <c r="A301" s="1142" t="s">
        <v>1233</v>
      </c>
      <c r="B301" s="1143"/>
      <c r="C301" s="1143"/>
      <c r="D301" s="1249" t="s">
        <v>1234</v>
      </c>
      <c r="E301" s="1145">
        <f t="shared" ref="E301:T301" si="80">E302</f>
        <v>108739983</v>
      </c>
      <c r="F301" s="1145">
        <f t="shared" si="80"/>
        <v>23319494</v>
      </c>
      <c r="G301" s="1145">
        <f t="shared" si="80"/>
        <v>12586628</v>
      </c>
      <c r="H301" s="1145">
        <f t="shared" si="80"/>
        <v>0</v>
      </c>
      <c r="I301" s="1145">
        <f t="shared" si="80"/>
        <v>0</v>
      </c>
      <c r="J301" s="1145">
        <f t="shared" si="80"/>
        <v>1417733</v>
      </c>
      <c r="K301" s="1145">
        <f t="shared" si="80"/>
        <v>9315133</v>
      </c>
      <c r="L301" s="1145">
        <f t="shared" si="80"/>
        <v>85420489</v>
      </c>
      <c r="M301" s="1145">
        <f t="shared" si="80"/>
        <v>0</v>
      </c>
      <c r="N301" s="1145">
        <f t="shared" si="80"/>
        <v>0</v>
      </c>
      <c r="O301" s="1145">
        <f t="shared" si="80"/>
        <v>0</v>
      </c>
      <c r="P301" s="1145">
        <f t="shared" si="80"/>
        <v>0</v>
      </c>
      <c r="Q301" s="1145">
        <f t="shared" si="80"/>
        <v>0</v>
      </c>
      <c r="R301" s="1145">
        <f t="shared" si="80"/>
        <v>0</v>
      </c>
      <c r="S301" s="1145">
        <f t="shared" si="80"/>
        <v>0</v>
      </c>
      <c r="T301" s="1145">
        <f t="shared" si="80"/>
        <v>0</v>
      </c>
      <c r="U301" s="1146">
        <f>U302</f>
        <v>0</v>
      </c>
      <c r="V301" s="1145">
        <f t="shared" si="70"/>
        <v>108739983</v>
      </c>
    </row>
    <row r="302" spans="1:24" s="1147" customFormat="1" ht="33" customHeight="1" x14ac:dyDescent="0.25">
      <c r="A302" s="1142" t="s">
        <v>1235</v>
      </c>
      <c r="B302" s="1143"/>
      <c r="C302" s="1143"/>
      <c r="D302" s="1249" t="s">
        <v>1236</v>
      </c>
      <c r="E302" s="1145">
        <f>E303+E305+E317+E332+E346+E339+E304+E341+E344+E352+E338</f>
        <v>108739983</v>
      </c>
      <c r="F302" s="1145">
        <f>F303+F305+F317+F332+F346+F339+F304+F341+F344+F352+F338</f>
        <v>23319494</v>
      </c>
      <c r="G302" s="1145">
        <f>G303+G305+G317+G332+G304</f>
        <v>12586628</v>
      </c>
      <c r="H302" s="1145">
        <f>H303+H305+H317+H332+H304</f>
        <v>0</v>
      </c>
      <c r="I302" s="1145">
        <f>I303+I305+I317+I332+I304</f>
        <v>0</v>
      </c>
      <c r="J302" s="1145">
        <f>J303+J305+J317+J332+J304</f>
        <v>1417733</v>
      </c>
      <c r="K302" s="1145">
        <f>K303+K305+K317+K332+K304+K346+K344+K339+K352+K338</f>
        <v>9315133</v>
      </c>
      <c r="L302" s="1145">
        <f>L303+L305+L317+L332+L304+L339</f>
        <v>85420489</v>
      </c>
      <c r="M302" s="1145">
        <f>M303+M305+M317+M332+M342+M346+M336+M339+M341+M352+M338+M344</f>
        <v>0</v>
      </c>
      <c r="N302" s="1145">
        <f>N303+N305+N317+N332+N342+N346+N336+N339+N341+N352+N338+N344</f>
        <v>0</v>
      </c>
      <c r="O302" s="1145">
        <f>O303+O305+O317+O332+O342</f>
        <v>0</v>
      </c>
      <c r="P302" s="1145">
        <f>P303+P305+P317+P332+P342</f>
        <v>0</v>
      </c>
      <c r="Q302" s="1145">
        <f>Q303+Q305+Q317+Q332+Q342</f>
        <v>0</v>
      </c>
      <c r="R302" s="1145">
        <f>R303+R305+R317+R332+R342</f>
        <v>0</v>
      </c>
      <c r="S302" s="1145">
        <f>S303+S305+S317+S332+S342</f>
        <v>0</v>
      </c>
      <c r="T302" s="1145">
        <f>T303+T305+T317+T332+T342+T346+T336+T339+T341+T352+T338+T344</f>
        <v>0</v>
      </c>
      <c r="U302" s="1146">
        <f>U303+U305+U317+U332+U342+U346+U339+U341+U352+U338+U344</f>
        <v>0</v>
      </c>
      <c r="V302" s="1145">
        <f>M302+E302</f>
        <v>108739983</v>
      </c>
      <c r="X302" s="1149"/>
    </row>
    <row r="303" spans="1:24" ht="46.2" customHeight="1" x14ac:dyDescent="0.25">
      <c r="A303" s="1150" t="s">
        <v>1237</v>
      </c>
      <c r="B303" s="1151" t="s">
        <v>273</v>
      </c>
      <c r="C303" s="1151" t="s">
        <v>885</v>
      </c>
      <c r="D303" s="1152" t="s">
        <v>886</v>
      </c>
      <c r="E303" s="1145">
        <f>F303</f>
        <v>15825218</v>
      </c>
      <c r="F303" s="1153">
        <f>SUM(G303:K303)</f>
        <v>15825218</v>
      </c>
      <c r="G303" s="1153">
        <f>12144044+442584</f>
        <v>12586628</v>
      </c>
      <c r="H303" s="1153"/>
      <c r="I303" s="1153"/>
      <c r="J303" s="1153"/>
      <c r="K303" s="1153">
        <f>15302957-12144044+79677</f>
        <v>3238590</v>
      </c>
      <c r="L303" s="1153"/>
      <c r="M303" s="1145">
        <f>O303+T303</f>
        <v>0</v>
      </c>
      <c r="N303" s="1153">
        <f>T303</f>
        <v>0</v>
      </c>
      <c r="O303" s="1153"/>
      <c r="P303" s="1153"/>
      <c r="Q303" s="1153"/>
      <c r="R303" s="1153"/>
      <c r="S303" s="1153"/>
      <c r="T303" s="1153"/>
      <c r="U303" s="1154"/>
      <c r="V303" s="1145">
        <f t="shared" si="70"/>
        <v>15825218</v>
      </c>
    </row>
    <row r="304" spans="1:24" ht="45" hidden="1" customHeight="1" x14ac:dyDescent="0.25">
      <c r="A304" s="1150" t="s">
        <v>1238</v>
      </c>
      <c r="B304" s="1151" t="s">
        <v>293</v>
      </c>
      <c r="C304" s="1151" t="s">
        <v>980</v>
      </c>
      <c r="D304" s="1152" t="s">
        <v>292</v>
      </c>
      <c r="E304" s="1145">
        <f>F304+L304</f>
        <v>0</v>
      </c>
      <c r="F304" s="1153">
        <f>SUM(G304:K304)</f>
        <v>0</v>
      </c>
      <c r="G304" s="1153"/>
      <c r="H304" s="1153"/>
      <c r="I304" s="1153"/>
      <c r="J304" s="1153"/>
      <c r="K304" s="1153"/>
      <c r="L304" s="1153"/>
      <c r="M304" s="1145"/>
      <c r="N304" s="1153"/>
      <c r="O304" s="1153"/>
      <c r="P304" s="1153"/>
      <c r="Q304" s="1153"/>
      <c r="R304" s="1153"/>
      <c r="S304" s="1153"/>
      <c r="T304" s="1153"/>
      <c r="U304" s="1154"/>
      <c r="V304" s="1145">
        <f t="shared" si="70"/>
        <v>0</v>
      </c>
    </row>
    <row r="305" spans="1:22" ht="19.2" customHeight="1" x14ac:dyDescent="0.25">
      <c r="A305" s="1150" t="s">
        <v>887</v>
      </c>
      <c r="B305" s="1150" t="s">
        <v>376</v>
      </c>
      <c r="C305" s="1150" t="s">
        <v>887</v>
      </c>
      <c r="D305" s="1156" t="s">
        <v>1239</v>
      </c>
      <c r="E305" s="1145">
        <f>SUM(E306:E316)</f>
        <v>92914765</v>
      </c>
      <c r="F305" s="1157">
        <f>SUM(F306:F316)</f>
        <v>7494276</v>
      </c>
      <c r="G305" s="1157">
        <f>SUM(G306:G315)</f>
        <v>0</v>
      </c>
      <c r="H305" s="1157">
        <f>SUM(H306:H315)</f>
        <v>0</v>
      </c>
      <c r="I305" s="1157">
        <f>SUM(I306:I315)</f>
        <v>0</v>
      </c>
      <c r="J305" s="1157">
        <f>SUM(J306:J315)</f>
        <v>1417733</v>
      </c>
      <c r="K305" s="1157">
        <f>SUM(K306:K315)</f>
        <v>6076543</v>
      </c>
      <c r="L305" s="1157">
        <f>SUM(L306:L316)</f>
        <v>85420489</v>
      </c>
      <c r="M305" s="1145">
        <f>M306+M310+M311+M312+M315+M314+M309+M307</f>
        <v>0</v>
      </c>
      <c r="N305" s="1157">
        <f>N306+N310+N311+N312+N315+N314+N309+N307</f>
        <v>0</v>
      </c>
      <c r="O305" s="1157">
        <f>SUM(O312:O315)</f>
        <v>0</v>
      </c>
      <c r="P305" s="1157">
        <f>SUM(P312:P315)</f>
        <v>0</v>
      </c>
      <c r="Q305" s="1157">
        <f>SUM(Q312:Q315)</f>
        <v>0</v>
      </c>
      <c r="R305" s="1157">
        <f>SUM(R312:R315)</f>
        <v>0</v>
      </c>
      <c r="S305" s="1157">
        <f>SUM(S312:S315)</f>
        <v>0</v>
      </c>
      <c r="T305" s="1157">
        <f>T306+T310+T311+T312+T315+T314+T309+T307</f>
        <v>0</v>
      </c>
      <c r="U305" s="1193">
        <f>U306+U310+U311+U312+U315+U314+U309</f>
        <v>0</v>
      </c>
      <c r="V305" s="1145">
        <f>M305+E305</f>
        <v>92914765</v>
      </c>
    </row>
    <row r="306" spans="1:22" ht="36.6" hidden="1" customHeight="1" x14ac:dyDescent="0.25">
      <c r="A306" s="1150" t="s">
        <v>1240</v>
      </c>
      <c r="B306" s="1151" t="s">
        <v>386</v>
      </c>
      <c r="C306" s="1151" t="s">
        <v>1241</v>
      </c>
      <c r="D306" s="1152" t="s">
        <v>385</v>
      </c>
      <c r="E306" s="1145"/>
      <c r="F306" s="1157"/>
      <c r="G306" s="1157"/>
      <c r="H306" s="1157"/>
      <c r="I306" s="1157"/>
      <c r="J306" s="1157"/>
      <c r="K306" s="1172"/>
      <c r="L306" s="1157"/>
      <c r="M306" s="1145">
        <f>T306</f>
        <v>0</v>
      </c>
      <c r="N306" s="1172">
        <f>T306</f>
        <v>0</v>
      </c>
      <c r="O306" s="1157"/>
      <c r="P306" s="1157"/>
      <c r="Q306" s="1157"/>
      <c r="R306" s="1157"/>
      <c r="S306" s="1157"/>
      <c r="T306" s="1172"/>
      <c r="U306" s="1180"/>
      <c r="V306" s="1145">
        <f t="shared" si="70"/>
        <v>0</v>
      </c>
    </row>
    <row r="307" spans="1:22" ht="34.950000000000003" hidden="1" customHeight="1" x14ac:dyDescent="0.25">
      <c r="A307" s="1150" t="s">
        <v>1242</v>
      </c>
      <c r="B307" s="1151" t="s">
        <v>388</v>
      </c>
      <c r="C307" s="1151" t="s">
        <v>1241</v>
      </c>
      <c r="D307" s="1152" t="s">
        <v>387</v>
      </c>
      <c r="E307" s="1145">
        <f>F307+L307</f>
        <v>0</v>
      </c>
      <c r="F307" s="1157">
        <f>SUM(G307:K307)</f>
        <v>0</v>
      </c>
      <c r="G307" s="1157"/>
      <c r="H307" s="1157"/>
      <c r="I307" s="1157"/>
      <c r="J307" s="1157"/>
      <c r="K307" s="1157"/>
      <c r="L307" s="1172"/>
      <c r="M307" s="1145">
        <f>T307</f>
        <v>0</v>
      </c>
      <c r="N307" s="1172">
        <f>T307</f>
        <v>0</v>
      </c>
      <c r="O307" s="1157"/>
      <c r="P307" s="1157"/>
      <c r="Q307" s="1157"/>
      <c r="R307" s="1157"/>
      <c r="S307" s="1157"/>
      <c r="T307" s="1172"/>
      <c r="U307" s="1180"/>
      <c r="V307" s="1145">
        <f t="shared" si="70"/>
        <v>0</v>
      </c>
    </row>
    <row r="308" spans="1:22" s="1166" customFormat="1" ht="16.2" hidden="1" x14ac:dyDescent="0.25">
      <c r="A308" s="1159"/>
      <c r="B308" s="1168"/>
      <c r="C308" s="1168"/>
      <c r="D308" s="1186" t="s">
        <v>899</v>
      </c>
      <c r="E308" s="1161"/>
      <c r="F308" s="1250"/>
      <c r="G308" s="1250"/>
      <c r="H308" s="1250"/>
      <c r="I308" s="1250"/>
      <c r="J308" s="1250"/>
      <c r="K308" s="1250"/>
      <c r="L308" s="1162"/>
      <c r="M308" s="1161">
        <f>N308</f>
        <v>0</v>
      </c>
      <c r="N308" s="1162">
        <f>T308</f>
        <v>0</v>
      </c>
      <c r="O308" s="1250"/>
      <c r="P308" s="1250"/>
      <c r="Q308" s="1250"/>
      <c r="R308" s="1250"/>
      <c r="S308" s="1250"/>
      <c r="T308" s="1162"/>
      <c r="U308" s="1167"/>
      <c r="V308" s="1161">
        <f>M308</f>
        <v>0</v>
      </c>
    </row>
    <row r="309" spans="1:22" ht="33.6" customHeight="1" x14ac:dyDescent="0.25">
      <c r="A309" s="1150" t="s">
        <v>1243</v>
      </c>
      <c r="B309" s="1151" t="s">
        <v>390</v>
      </c>
      <c r="C309" s="1151" t="s">
        <v>1241</v>
      </c>
      <c r="D309" s="1152" t="s">
        <v>389</v>
      </c>
      <c r="E309" s="1145">
        <f>F309+L309</f>
        <v>37641554</v>
      </c>
      <c r="F309" s="1157">
        <f>SUM(G309:K309)</f>
        <v>0</v>
      </c>
      <c r="G309" s="1157"/>
      <c r="H309" s="1157"/>
      <c r="I309" s="1157"/>
      <c r="J309" s="1157"/>
      <c r="K309" s="1157"/>
      <c r="L309" s="1172">
        <v>37641554</v>
      </c>
      <c r="M309" s="1145">
        <f>T309</f>
        <v>0</v>
      </c>
      <c r="N309" s="1172">
        <f>T309</f>
        <v>0</v>
      </c>
      <c r="O309" s="1157"/>
      <c r="P309" s="1157"/>
      <c r="Q309" s="1157"/>
      <c r="R309" s="1157"/>
      <c r="S309" s="1157"/>
      <c r="T309" s="1172"/>
      <c r="U309" s="1180"/>
      <c r="V309" s="1145">
        <f t="shared" si="70"/>
        <v>37641554</v>
      </c>
    </row>
    <row r="310" spans="1:22" ht="31.2" hidden="1" customHeight="1" x14ac:dyDescent="0.25">
      <c r="A310" s="1150" t="s">
        <v>1244</v>
      </c>
      <c r="B310" s="1151" t="s">
        <v>392</v>
      </c>
      <c r="C310" s="1151" t="s">
        <v>1241</v>
      </c>
      <c r="D310" s="1152" t="s">
        <v>391</v>
      </c>
      <c r="E310" s="1145"/>
      <c r="F310" s="1157"/>
      <c r="G310" s="1157"/>
      <c r="H310" s="1157"/>
      <c r="I310" s="1157"/>
      <c r="J310" s="1157"/>
      <c r="K310" s="1157"/>
      <c r="L310" s="1157"/>
      <c r="M310" s="1145">
        <f t="shared" ref="M310:M315" si="81">T310</f>
        <v>0</v>
      </c>
      <c r="N310" s="1172">
        <f>T310</f>
        <v>0</v>
      </c>
      <c r="O310" s="1157"/>
      <c r="P310" s="1157"/>
      <c r="Q310" s="1157"/>
      <c r="R310" s="1157"/>
      <c r="S310" s="1157"/>
      <c r="T310" s="1172"/>
      <c r="U310" s="1180"/>
      <c r="V310" s="1145">
        <f t="shared" si="70"/>
        <v>0</v>
      </c>
    </row>
    <row r="311" spans="1:22" ht="27.6" hidden="1" x14ac:dyDescent="0.25">
      <c r="A311" s="1150" t="s">
        <v>1245</v>
      </c>
      <c r="B311" s="1151" t="s">
        <v>1246</v>
      </c>
      <c r="C311" s="1151" t="s">
        <v>1241</v>
      </c>
      <c r="D311" s="1152" t="s">
        <v>1247</v>
      </c>
      <c r="E311" s="1145"/>
      <c r="F311" s="1157"/>
      <c r="G311" s="1157"/>
      <c r="H311" s="1157"/>
      <c r="I311" s="1157"/>
      <c r="J311" s="1157"/>
      <c r="K311" s="1157"/>
      <c r="L311" s="1157"/>
      <c r="M311" s="1145">
        <f t="shared" si="81"/>
        <v>0</v>
      </c>
      <c r="N311" s="1172"/>
      <c r="O311" s="1157"/>
      <c r="P311" s="1157"/>
      <c r="Q311" s="1157"/>
      <c r="R311" s="1157"/>
      <c r="S311" s="1157"/>
      <c r="T311" s="1172"/>
      <c r="U311" s="1180"/>
      <c r="V311" s="1145">
        <f t="shared" si="70"/>
        <v>0</v>
      </c>
    </row>
    <row r="312" spans="1:22" ht="15.6" x14ac:dyDescent="0.25">
      <c r="A312" s="1150" t="s">
        <v>1248</v>
      </c>
      <c r="B312" s="1151" t="s">
        <v>394</v>
      </c>
      <c r="C312" s="1151" t="s">
        <v>1241</v>
      </c>
      <c r="D312" s="1200" t="s">
        <v>393</v>
      </c>
      <c r="E312" s="1145">
        <f>F312+L312</f>
        <v>54405536</v>
      </c>
      <c r="F312" s="1172">
        <f>SUM(G312:K312)</f>
        <v>7379733</v>
      </c>
      <c r="G312" s="1172"/>
      <c r="H312" s="1172"/>
      <c r="I312" s="1172"/>
      <c r="J312" s="1171">
        <v>1417733</v>
      </c>
      <c r="K312" s="1171">
        <f>4802000+1160000</f>
        <v>5962000</v>
      </c>
      <c r="L312" s="1171">
        <v>47025803</v>
      </c>
      <c r="M312" s="1145">
        <f t="shared" si="81"/>
        <v>0</v>
      </c>
      <c r="N312" s="1153">
        <f>T312</f>
        <v>0</v>
      </c>
      <c r="O312" s="1181"/>
      <c r="P312" s="1181"/>
      <c r="Q312" s="1181"/>
      <c r="R312" s="1181"/>
      <c r="S312" s="1181"/>
      <c r="T312" s="1153"/>
      <c r="U312" s="1154"/>
      <c r="V312" s="1145">
        <f t="shared" si="70"/>
        <v>54405536</v>
      </c>
    </row>
    <row r="313" spans="1:22" ht="15.6" x14ac:dyDescent="0.25">
      <c r="A313" s="1150" t="s">
        <v>1249</v>
      </c>
      <c r="B313" s="1151" t="s">
        <v>396</v>
      </c>
      <c r="C313" s="1151" t="s">
        <v>1241</v>
      </c>
      <c r="D313" s="1176" t="s">
        <v>395</v>
      </c>
      <c r="E313" s="1145">
        <f>F313</f>
        <v>114543</v>
      </c>
      <c r="F313" s="1172">
        <f>SUM(G313:K313)</f>
        <v>114543</v>
      </c>
      <c r="G313" s="1153"/>
      <c r="H313" s="1153"/>
      <c r="I313" s="1153"/>
      <c r="J313" s="1153"/>
      <c r="K313" s="1153">
        <v>114543</v>
      </c>
      <c r="L313" s="1153"/>
      <c r="M313" s="1145">
        <f t="shared" si="81"/>
        <v>0</v>
      </c>
      <c r="N313" s="1181"/>
      <c r="O313" s="1181"/>
      <c r="P313" s="1181"/>
      <c r="Q313" s="1181"/>
      <c r="R313" s="1181"/>
      <c r="S313" s="1181"/>
      <c r="T313" s="1181"/>
      <c r="U313" s="1192"/>
      <c r="V313" s="1145">
        <f t="shared" si="70"/>
        <v>114543</v>
      </c>
    </row>
    <row r="314" spans="1:22" ht="34.950000000000003" hidden="1" customHeight="1" x14ac:dyDescent="0.25">
      <c r="A314" s="1150" t="s">
        <v>1250</v>
      </c>
      <c r="B314" s="1151" t="s">
        <v>407</v>
      </c>
      <c r="C314" s="1151" t="s">
        <v>1251</v>
      </c>
      <c r="D314" s="1200" t="s">
        <v>406</v>
      </c>
      <c r="E314" s="1145">
        <f>F314+L314</f>
        <v>0</v>
      </c>
      <c r="F314" s="1172">
        <f>SUM(G314:K314)</f>
        <v>0</v>
      </c>
      <c r="G314" s="1153"/>
      <c r="H314" s="1153"/>
      <c r="I314" s="1153"/>
      <c r="J314" s="1153"/>
      <c r="K314" s="1153"/>
      <c r="L314" s="1153"/>
      <c r="M314" s="1145">
        <f t="shared" si="81"/>
        <v>0</v>
      </c>
      <c r="N314" s="1153">
        <f>T314</f>
        <v>0</v>
      </c>
      <c r="O314" s="1153"/>
      <c r="P314" s="1153"/>
      <c r="Q314" s="1153"/>
      <c r="R314" s="1153"/>
      <c r="S314" s="1153"/>
      <c r="T314" s="1153"/>
      <c r="U314" s="1154"/>
      <c r="V314" s="1145">
        <f>M314+E314</f>
        <v>0</v>
      </c>
    </row>
    <row r="315" spans="1:22" ht="102" hidden="1" customHeight="1" x14ac:dyDescent="0.25">
      <c r="A315" s="1150" t="s">
        <v>1252</v>
      </c>
      <c r="B315" s="1169">
        <v>6071</v>
      </c>
      <c r="C315" s="1151" t="s">
        <v>1251</v>
      </c>
      <c r="D315" s="1251" t="s">
        <v>1253</v>
      </c>
      <c r="E315" s="1145">
        <f>F315+L315</f>
        <v>0</v>
      </c>
      <c r="F315" s="1172">
        <f>SUM(G315:K315)</f>
        <v>0</v>
      </c>
      <c r="G315" s="1181"/>
      <c r="H315" s="1181"/>
      <c r="I315" s="1181"/>
      <c r="J315" s="1181"/>
      <c r="K315" s="1153"/>
      <c r="L315" s="1153"/>
      <c r="M315" s="1145">
        <f t="shared" si="81"/>
        <v>0</v>
      </c>
      <c r="N315" s="1153">
        <f>T315</f>
        <v>0</v>
      </c>
      <c r="O315" s="1181"/>
      <c r="P315" s="1181"/>
      <c r="Q315" s="1181"/>
      <c r="R315" s="1181"/>
      <c r="S315" s="1181"/>
      <c r="T315" s="1153"/>
      <c r="U315" s="1154"/>
      <c r="V315" s="1145">
        <f t="shared" si="70"/>
        <v>0</v>
      </c>
    </row>
    <row r="316" spans="1:22" s="1166" customFormat="1" ht="63" customHeight="1" x14ac:dyDescent="0.25">
      <c r="A316" s="1150" t="s">
        <v>1254</v>
      </c>
      <c r="B316" s="1151" t="s">
        <v>1255</v>
      </c>
      <c r="C316" s="1151" t="s">
        <v>1251</v>
      </c>
      <c r="D316" s="1176" t="s">
        <v>1256</v>
      </c>
      <c r="E316" s="1145">
        <f>L316+F316</f>
        <v>753132</v>
      </c>
      <c r="F316" s="1172">
        <f>SUM(G316:K316)</f>
        <v>0</v>
      </c>
      <c r="G316" s="1163"/>
      <c r="H316" s="1163"/>
      <c r="I316" s="1163"/>
      <c r="J316" s="1163"/>
      <c r="K316" s="1153"/>
      <c r="L316" s="1153">
        <v>753132</v>
      </c>
      <c r="M316" s="1145">
        <f>O316+T316</f>
        <v>0</v>
      </c>
      <c r="N316" s="1163"/>
      <c r="O316" s="1163"/>
      <c r="P316" s="1163"/>
      <c r="Q316" s="1163"/>
      <c r="R316" s="1163"/>
      <c r="S316" s="1163"/>
      <c r="T316" s="1153"/>
      <c r="U316" s="1165"/>
      <c r="V316" s="1145">
        <f>M316+E316</f>
        <v>753132</v>
      </c>
    </row>
    <row r="317" spans="1:22" ht="15.6" hidden="1" customHeight="1" x14ac:dyDescent="0.25">
      <c r="A317" s="1150" t="s">
        <v>887</v>
      </c>
      <c r="B317" s="1151" t="s">
        <v>1257</v>
      </c>
      <c r="C317" s="1150" t="s">
        <v>887</v>
      </c>
      <c r="D317" s="1156" t="s">
        <v>1258</v>
      </c>
      <c r="E317" s="1145">
        <f>SUM(E320:E329)-E326</f>
        <v>0</v>
      </c>
      <c r="F317" s="1181">
        <f>SUM(F320:F329)-F326</f>
        <v>0</v>
      </c>
      <c r="G317" s="1181">
        <f>SUM(G320:G327)</f>
        <v>0</v>
      </c>
      <c r="H317" s="1181">
        <f>SUM(H320:H327)</f>
        <v>0</v>
      </c>
      <c r="I317" s="1181">
        <f>SUM(I320:I327)</f>
        <v>0</v>
      </c>
      <c r="J317" s="1181">
        <f>SUM(J320:J327)</f>
        <v>0</v>
      </c>
      <c r="K317" s="1181">
        <f>SUM(K320:K329)-K326</f>
        <v>0</v>
      </c>
      <c r="L317" s="1181">
        <f>SUM(L320:L329)-L326</f>
        <v>0</v>
      </c>
      <c r="M317" s="1145">
        <f>SUM(M318:M331)-M326-M323</f>
        <v>0</v>
      </c>
      <c r="N317" s="1181">
        <f>SUM(N318:N331)-N326-N323</f>
        <v>0</v>
      </c>
      <c r="O317" s="1181">
        <f>SUM(O318:O331)-O326</f>
        <v>0</v>
      </c>
      <c r="P317" s="1181">
        <f>SUM(P320:P327)</f>
        <v>0</v>
      </c>
      <c r="Q317" s="1181">
        <f>SUM(Q320:Q327)</f>
        <v>0</v>
      </c>
      <c r="R317" s="1181">
        <f>SUM(R320:R327)</f>
        <v>0</v>
      </c>
      <c r="S317" s="1181">
        <f>SUM(S320:S327)</f>
        <v>0</v>
      </c>
      <c r="T317" s="1181">
        <f>SUM(T318:T330)-T326-T323</f>
        <v>0</v>
      </c>
      <c r="U317" s="1192">
        <f>SUM(U318:U330)-U326-U323</f>
        <v>0</v>
      </c>
      <c r="V317" s="1145">
        <f>M317+E317</f>
        <v>0</v>
      </c>
    </row>
    <row r="318" spans="1:22" ht="31.2" hidden="1" customHeight="1" x14ac:dyDescent="0.25">
      <c r="A318" s="1150" t="s">
        <v>1259</v>
      </c>
      <c r="B318" s="1151" t="s">
        <v>411</v>
      </c>
      <c r="C318" s="1151" t="s">
        <v>1023</v>
      </c>
      <c r="D318" s="1152" t="s">
        <v>1260</v>
      </c>
      <c r="E318" s="1145"/>
      <c r="F318" s="1181"/>
      <c r="G318" s="1181"/>
      <c r="H318" s="1181"/>
      <c r="I318" s="1181"/>
      <c r="J318" s="1181"/>
      <c r="K318" s="1181"/>
      <c r="L318" s="1181"/>
      <c r="M318" s="1145">
        <f t="shared" ref="M318:M330" si="82">O318+T318</f>
        <v>0</v>
      </c>
      <c r="N318" s="1153">
        <f>T318</f>
        <v>0</v>
      </c>
      <c r="O318" s="1181"/>
      <c r="P318" s="1181"/>
      <c r="Q318" s="1181"/>
      <c r="R318" s="1181"/>
      <c r="S318" s="1181"/>
      <c r="T318" s="1153"/>
      <c r="U318" s="1154"/>
      <c r="V318" s="1145">
        <f t="shared" si="70"/>
        <v>0</v>
      </c>
    </row>
    <row r="319" spans="1:22" ht="45.6" hidden="1" customHeight="1" x14ac:dyDescent="0.25">
      <c r="A319" s="1150" t="s">
        <v>1261</v>
      </c>
      <c r="B319" s="1169">
        <v>7363</v>
      </c>
      <c r="C319" s="1151" t="s">
        <v>1038</v>
      </c>
      <c r="D319" s="1176" t="s">
        <v>1041</v>
      </c>
      <c r="E319" s="1145"/>
      <c r="F319" s="1181"/>
      <c r="G319" s="1181"/>
      <c r="H319" s="1181"/>
      <c r="I319" s="1181"/>
      <c r="J319" s="1181"/>
      <c r="K319" s="1181"/>
      <c r="L319" s="1181"/>
      <c r="M319" s="1145">
        <f t="shared" si="82"/>
        <v>0</v>
      </c>
      <c r="N319" s="1153">
        <f>T319</f>
        <v>0</v>
      </c>
      <c r="O319" s="1181"/>
      <c r="P319" s="1181"/>
      <c r="Q319" s="1181"/>
      <c r="R319" s="1181"/>
      <c r="S319" s="1181"/>
      <c r="T319" s="1153"/>
      <c r="U319" s="1154"/>
      <c r="V319" s="1145">
        <f t="shared" si="70"/>
        <v>0</v>
      </c>
    </row>
    <row r="320" spans="1:22" ht="27.6" hidden="1" customHeight="1" x14ac:dyDescent="0.25">
      <c r="A320" s="1150" t="s">
        <v>1262</v>
      </c>
      <c r="B320" s="1151" t="s">
        <v>1263</v>
      </c>
      <c r="C320" s="1151" t="s">
        <v>1264</v>
      </c>
      <c r="D320" s="1176" t="s">
        <v>1265</v>
      </c>
      <c r="E320" s="1145">
        <f t="shared" ref="E320:E327" si="83">F320+L320</f>
        <v>0</v>
      </c>
      <c r="F320" s="1172">
        <f>SUM(G320:K320)</f>
        <v>0</v>
      </c>
      <c r="G320" s="1181"/>
      <c r="H320" s="1181"/>
      <c r="I320" s="1181"/>
      <c r="J320" s="1181"/>
      <c r="K320" s="1153"/>
      <c r="L320" s="1153"/>
      <c r="M320" s="1145">
        <f t="shared" si="82"/>
        <v>0</v>
      </c>
      <c r="N320" s="1153"/>
      <c r="O320" s="1181"/>
      <c r="P320" s="1181"/>
      <c r="Q320" s="1181"/>
      <c r="R320" s="1181"/>
      <c r="S320" s="1181"/>
      <c r="T320" s="1153"/>
      <c r="U320" s="1154"/>
      <c r="V320" s="1145">
        <f t="shared" ref="V320:V355" si="84">M320+E320</f>
        <v>0</v>
      </c>
    </row>
    <row r="321" spans="1:22" ht="30.45" hidden="1" customHeight="1" x14ac:dyDescent="0.25">
      <c r="A321" s="1150" t="s">
        <v>1266</v>
      </c>
      <c r="B321" s="1151" t="s">
        <v>1267</v>
      </c>
      <c r="C321" s="1151" t="s">
        <v>1264</v>
      </c>
      <c r="D321" s="1170" t="s">
        <v>1268</v>
      </c>
      <c r="E321" s="1145">
        <f t="shared" si="83"/>
        <v>0</v>
      </c>
      <c r="F321" s="1172">
        <f>SUM(G321:K321)</f>
        <v>0</v>
      </c>
      <c r="G321" s="1181"/>
      <c r="H321" s="1181"/>
      <c r="I321" s="1181"/>
      <c r="J321" s="1181"/>
      <c r="K321" s="1153"/>
      <c r="L321" s="1153"/>
      <c r="M321" s="1145">
        <f t="shared" si="82"/>
        <v>0</v>
      </c>
      <c r="N321" s="1181"/>
      <c r="O321" s="1181"/>
      <c r="P321" s="1181"/>
      <c r="Q321" s="1181"/>
      <c r="R321" s="1181"/>
      <c r="S321" s="1181"/>
      <c r="T321" s="1181"/>
      <c r="U321" s="1192"/>
      <c r="V321" s="1145">
        <f t="shared" si="84"/>
        <v>0</v>
      </c>
    </row>
    <row r="322" spans="1:22" ht="45.6" hidden="1" customHeight="1" x14ac:dyDescent="0.25">
      <c r="A322" s="1150" t="s">
        <v>1261</v>
      </c>
      <c r="B322" s="1169">
        <v>7363</v>
      </c>
      <c r="C322" s="1151" t="s">
        <v>1038</v>
      </c>
      <c r="D322" s="1176" t="s">
        <v>1041</v>
      </c>
      <c r="E322" s="1145"/>
      <c r="F322" s="1153"/>
      <c r="G322" s="1153"/>
      <c r="H322" s="1153"/>
      <c r="I322" s="1153"/>
      <c r="J322" s="1153"/>
      <c r="K322" s="1153"/>
      <c r="L322" s="1153"/>
      <c r="M322" s="1145">
        <f>T322</f>
        <v>0</v>
      </c>
      <c r="N322" s="1153">
        <f>T322</f>
        <v>0</v>
      </c>
      <c r="O322" s="1153"/>
      <c r="P322" s="1153"/>
      <c r="Q322" s="1153"/>
      <c r="R322" s="1153"/>
      <c r="S322" s="1153"/>
      <c r="T322" s="1153"/>
      <c r="U322" s="1154"/>
      <c r="V322" s="1145">
        <f t="shared" si="84"/>
        <v>0</v>
      </c>
    </row>
    <row r="323" spans="1:22" ht="44.4" hidden="1" customHeight="1" x14ac:dyDescent="0.25">
      <c r="A323" s="1150"/>
      <c r="B323" s="1169"/>
      <c r="C323" s="1151"/>
      <c r="D323" s="1160" t="s">
        <v>1042</v>
      </c>
      <c r="E323" s="1145"/>
      <c r="F323" s="1153"/>
      <c r="G323" s="1153"/>
      <c r="H323" s="1153"/>
      <c r="I323" s="1153"/>
      <c r="J323" s="1153"/>
      <c r="K323" s="1153"/>
      <c r="L323" s="1153"/>
      <c r="M323" s="1161">
        <f>T323</f>
        <v>0</v>
      </c>
      <c r="N323" s="1163">
        <f>T323</f>
        <v>0</v>
      </c>
      <c r="O323" s="1163"/>
      <c r="P323" s="1163"/>
      <c r="Q323" s="1163"/>
      <c r="R323" s="1163"/>
      <c r="S323" s="1163"/>
      <c r="T323" s="1163"/>
      <c r="U323" s="1165"/>
      <c r="V323" s="1145">
        <f t="shared" si="84"/>
        <v>0</v>
      </c>
    </row>
    <row r="324" spans="1:22" ht="15.6" hidden="1" x14ac:dyDescent="0.25">
      <c r="A324" s="1150" t="s">
        <v>1269</v>
      </c>
      <c r="B324" s="1151" t="s">
        <v>438</v>
      </c>
      <c r="C324" s="1151" t="s">
        <v>1270</v>
      </c>
      <c r="D324" s="1170" t="s">
        <v>437</v>
      </c>
      <c r="E324" s="1145">
        <f t="shared" si="83"/>
        <v>0</v>
      </c>
      <c r="F324" s="1172">
        <f>K324</f>
        <v>0</v>
      </c>
      <c r="G324" s="1181"/>
      <c r="H324" s="1181"/>
      <c r="I324" s="1181"/>
      <c r="J324" s="1181"/>
      <c r="K324" s="1153"/>
      <c r="L324" s="1153"/>
      <c r="M324" s="1145">
        <f t="shared" si="82"/>
        <v>0</v>
      </c>
      <c r="N324" s="1153">
        <f>T324</f>
        <v>0</v>
      </c>
      <c r="O324" s="1181"/>
      <c r="P324" s="1181"/>
      <c r="Q324" s="1181"/>
      <c r="R324" s="1181"/>
      <c r="S324" s="1181"/>
      <c r="T324" s="1153"/>
      <c r="U324" s="1154"/>
      <c r="V324" s="1145">
        <f t="shared" si="84"/>
        <v>0</v>
      </c>
    </row>
    <row r="325" spans="1:22" ht="15.6" hidden="1" x14ac:dyDescent="0.25">
      <c r="A325" s="1150" t="s">
        <v>1271</v>
      </c>
      <c r="B325" s="1151" t="s">
        <v>440</v>
      </c>
      <c r="C325" s="1151" t="s">
        <v>1272</v>
      </c>
      <c r="D325" s="1170" t="s">
        <v>439</v>
      </c>
      <c r="E325" s="1145">
        <f t="shared" si="83"/>
        <v>0</v>
      </c>
      <c r="F325" s="1172">
        <f>SUM(G325:K325)</f>
        <v>0</v>
      </c>
      <c r="G325" s="1181"/>
      <c r="H325" s="1181"/>
      <c r="I325" s="1181"/>
      <c r="J325" s="1181"/>
      <c r="K325" s="1153"/>
      <c r="L325" s="1153"/>
      <c r="M325" s="1145"/>
      <c r="N325" s="1153"/>
      <c r="O325" s="1181"/>
      <c r="P325" s="1181"/>
      <c r="Q325" s="1181"/>
      <c r="R325" s="1181"/>
      <c r="S325" s="1181"/>
      <c r="T325" s="1153"/>
      <c r="U325" s="1154"/>
      <c r="V325" s="1145">
        <f t="shared" si="84"/>
        <v>0</v>
      </c>
    </row>
    <row r="326" spans="1:22" ht="27.6" hidden="1" x14ac:dyDescent="0.25">
      <c r="A326" s="1150" t="s">
        <v>1273</v>
      </c>
      <c r="B326" s="1151"/>
      <c r="C326" s="1151"/>
      <c r="D326" s="1170" t="s">
        <v>1274</v>
      </c>
      <c r="E326" s="1145">
        <f t="shared" si="83"/>
        <v>0</v>
      </c>
      <c r="F326" s="1172">
        <f>SUM(G326:K326)</f>
        <v>0</v>
      </c>
      <c r="G326" s="1172">
        <f t="shared" ref="G326:L326" si="85">G327</f>
        <v>0</v>
      </c>
      <c r="H326" s="1172">
        <f t="shared" si="85"/>
        <v>0</v>
      </c>
      <c r="I326" s="1172">
        <f t="shared" si="85"/>
        <v>0</v>
      </c>
      <c r="J326" s="1172">
        <f t="shared" si="85"/>
        <v>0</v>
      </c>
      <c r="K326" s="1172">
        <f t="shared" si="85"/>
        <v>0</v>
      </c>
      <c r="L326" s="1172">
        <f t="shared" si="85"/>
        <v>0</v>
      </c>
      <c r="M326" s="1145">
        <f t="shared" si="82"/>
        <v>0</v>
      </c>
      <c r="N326" s="1153">
        <f>N327</f>
        <v>0</v>
      </c>
      <c r="O326" s="1181"/>
      <c r="P326" s="1181"/>
      <c r="Q326" s="1181"/>
      <c r="R326" s="1181"/>
      <c r="S326" s="1181"/>
      <c r="T326" s="1153">
        <f>T327</f>
        <v>0</v>
      </c>
      <c r="U326" s="1154">
        <f>U327</f>
        <v>0</v>
      </c>
      <c r="V326" s="1145">
        <f t="shared" si="84"/>
        <v>0</v>
      </c>
    </row>
    <row r="327" spans="1:22" ht="41.4" hidden="1" x14ac:dyDescent="0.25">
      <c r="A327" s="1150" t="s">
        <v>1275</v>
      </c>
      <c r="B327" s="1151" t="s">
        <v>442</v>
      </c>
      <c r="C327" s="1151" t="s">
        <v>1276</v>
      </c>
      <c r="D327" s="1176" t="s">
        <v>441</v>
      </c>
      <c r="E327" s="1145">
        <f t="shared" si="83"/>
        <v>0</v>
      </c>
      <c r="F327" s="1172">
        <f>SUM(G327:K327)</f>
        <v>0</v>
      </c>
      <c r="G327" s="1157"/>
      <c r="H327" s="1157"/>
      <c r="I327" s="1157"/>
      <c r="J327" s="1157"/>
      <c r="K327" s="1172"/>
      <c r="L327" s="1172"/>
      <c r="M327" s="1145">
        <f t="shared" si="82"/>
        <v>0</v>
      </c>
      <c r="N327" s="1153">
        <f>T327</f>
        <v>0</v>
      </c>
      <c r="O327" s="1153"/>
      <c r="P327" s="1181"/>
      <c r="Q327" s="1181"/>
      <c r="R327" s="1181"/>
      <c r="S327" s="1181"/>
      <c r="T327" s="1153"/>
      <c r="U327" s="1180"/>
      <c r="V327" s="1145">
        <f t="shared" si="84"/>
        <v>0</v>
      </c>
    </row>
    <row r="328" spans="1:22" ht="15.6" hidden="1" x14ac:dyDescent="0.25">
      <c r="A328" s="1150" t="s">
        <v>1277</v>
      </c>
      <c r="B328" s="1151" t="s">
        <v>444</v>
      </c>
      <c r="C328" s="1151" t="s">
        <v>1272</v>
      </c>
      <c r="D328" s="1176" t="s">
        <v>1278</v>
      </c>
      <c r="E328" s="1145"/>
      <c r="F328" s="1172"/>
      <c r="G328" s="1157"/>
      <c r="H328" s="1157"/>
      <c r="I328" s="1157"/>
      <c r="J328" s="1157"/>
      <c r="K328" s="1172"/>
      <c r="L328" s="1172"/>
      <c r="M328" s="1145">
        <f t="shared" si="82"/>
        <v>0</v>
      </c>
      <c r="N328" s="1153">
        <f>T328</f>
        <v>0</v>
      </c>
      <c r="O328" s="1153"/>
      <c r="P328" s="1181"/>
      <c r="Q328" s="1181"/>
      <c r="R328" s="1181"/>
      <c r="S328" s="1181"/>
      <c r="T328" s="1153"/>
      <c r="U328" s="1154"/>
      <c r="V328" s="1145">
        <f t="shared" si="84"/>
        <v>0</v>
      </c>
    </row>
    <row r="329" spans="1:22" ht="15.6" hidden="1" x14ac:dyDescent="0.25">
      <c r="A329" s="1150" t="s">
        <v>1279</v>
      </c>
      <c r="B329" s="1151" t="s">
        <v>454</v>
      </c>
      <c r="C329" s="1151" t="s">
        <v>1044</v>
      </c>
      <c r="D329" s="1176" t="s">
        <v>453</v>
      </c>
      <c r="E329" s="1145">
        <f>L329+F329</f>
        <v>0</v>
      </c>
      <c r="G329" s="1157"/>
      <c r="H329" s="1157"/>
      <c r="I329" s="1157"/>
      <c r="J329" s="1157"/>
      <c r="K329" s="1172"/>
      <c r="L329" s="1172"/>
      <c r="M329" s="1145">
        <f t="shared" si="82"/>
        <v>0</v>
      </c>
      <c r="N329" s="1153"/>
      <c r="O329" s="1153"/>
      <c r="P329" s="1181"/>
      <c r="Q329" s="1181"/>
      <c r="R329" s="1181"/>
      <c r="S329" s="1181"/>
      <c r="T329" s="1153"/>
      <c r="U329" s="1154"/>
      <c r="V329" s="1145">
        <f t="shared" si="84"/>
        <v>0</v>
      </c>
    </row>
    <row r="330" spans="1:22" ht="15.6" hidden="1" x14ac:dyDescent="0.25">
      <c r="A330" s="1150" t="s">
        <v>1280</v>
      </c>
      <c r="B330" s="1151" t="s">
        <v>460</v>
      </c>
      <c r="C330" s="1151" t="s">
        <v>1038</v>
      </c>
      <c r="D330" s="1176" t="s">
        <v>1049</v>
      </c>
      <c r="E330" s="1145"/>
      <c r="F330" s="1172"/>
      <c r="G330" s="1157"/>
      <c r="H330" s="1157"/>
      <c r="I330" s="1157"/>
      <c r="J330" s="1157"/>
      <c r="K330" s="1172"/>
      <c r="L330" s="1172"/>
      <c r="M330" s="1145">
        <f t="shared" si="82"/>
        <v>0</v>
      </c>
      <c r="N330" s="1153">
        <f>T330</f>
        <v>0</v>
      </c>
      <c r="O330" s="1153"/>
      <c r="P330" s="1181"/>
      <c r="Q330" s="1181"/>
      <c r="R330" s="1181"/>
      <c r="S330" s="1181"/>
      <c r="T330" s="1177"/>
      <c r="U330" s="1154"/>
      <c r="V330" s="1145">
        <f t="shared" si="84"/>
        <v>0</v>
      </c>
    </row>
    <row r="331" spans="1:22" ht="96.6" hidden="1" x14ac:dyDescent="0.25">
      <c r="A331" s="1150" t="s">
        <v>1281</v>
      </c>
      <c r="B331" s="1151" t="s">
        <v>464</v>
      </c>
      <c r="C331" s="1151" t="s">
        <v>1038</v>
      </c>
      <c r="D331" s="1252" t="s">
        <v>463</v>
      </c>
      <c r="E331" s="1145"/>
      <c r="F331" s="1172"/>
      <c r="G331" s="1157"/>
      <c r="H331" s="1157"/>
      <c r="I331" s="1157"/>
      <c r="J331" s="1157"/>
      <c r="K331" s="1172"/>
      <c r="L331" s="1172"/>
      <c r="M331" s="1145">
        <f>O331</f>
        <v>0</v>
      </c>
      <c r="N331" s="1153"/>
      <c r="O331" s="1153"/>
      <c r="P331" s="1181"/>
      <c r="Q331" s="1181"/>
      <c r="R331" s="1181"/>
      <c r="S331" s="1181"/>
      <c r="T331" s="1153"/>
      <c r="U331" s="1154"/>
      <c r="V331" s="1145">
        <f t="shared" si="84"/>
        <v>0</v>
      </c>
    </row>
    <row r="332" spans="1:22" ht="27.6" hidden="1" x14ac:dyDescent="0.25">
      <c r="A332" s="1150" t="s">
        <v>1282</v>
      </c>
      <c r="B332" s="1151" t="s">
        <v>468</v>
      </c>
      <c r="C332" s="1150"/>
      <c r="D332" s="1253" t="s">
        <v>467</v>
      </c>
      <c r="E332" s="1145">
        <f t="shared" ref="E332:L332" si="86">E333+E336</f>
        <v>0</v>
      </c>
      <c r="F332" s="1157">
        <f t="shared" si="86"/>
        <v>0</v>
      </c>
      <c r="G332" s="1157">
        <f>G333+G336</f>
        <v>0</v>
      </c>
      <c r="H332" s="1157">
        <f t="shared" si="86"/>
        <v>0</v>
      </c>
      <c r="I332" s="1157">
        <f t="shared" si="86"/>
        <v>0</v>
      </c>
      <c r="J332" s="1157">
        <f t="shared" si="86"/>
        <v>0</v>
      </c>
      <c r="K332" s="1157">
        <f>K333+K336</f>
        <v>0</v>
      </c>
      <c r="L332" s="1157">
        <f t="shared" si="86"/>
        <v>0</v>
      </c>
      <c r="M332" s="1145">
        <f>T332</f>
        <v>0</v>
      </c>
      <c r="N332" s="1157">
        <f>N333+N336</f>
        <v>0</v>
      </c>
      <c r="O332" s="1157">
        <f t="shared" ref="O332:U332" si="87">O333+O336</f>
        <v>0</v>
      </c>
      <c r="P332" s="1157">
        <f t="shared" si="87"/>
        <v>0</v>
      </c>
      <c r="Q332" s="1157">
        <f t="shared" si="87"/>
        <v>0</v>
      </c>
      <c r="R332" s="1157">
        <f t="shared" si="87"/>
        <v>0</v>
      </c>
      <c r="S332" s="1157">
        <f t="shared" si="87"/>
        <v>0</v>
      </c>
      <c r="T332" s="1157">
        <f t="shared" si="87"/>
        <v>0</v>
      </c>
      <c r="U332" s="1193">
        <f t="shared" si="87"/>
        <v>0</v>
      </c>
      <c r="V332" s="1145">
        <f t="shared" si="84"/>
        <v>0</v>
      </c>
    </row>
    <row r="333" spans="1:22" ht="36.75" hidden="1" customHeight="1" x14ac:dyDescent="0.25">
      <c r="A333" s="1150" t="s">
        <v>1283</v>
      </c>
      <c r="B333" s="1151" t="s">
        <v>470</v>
      </c>
      <c r="C333" s="1151" t="s">
        <v>1109</v>
      </c>
      <c r="D333" s="1152" t="s">
        <v>469</v>
      </c>
      <c r="E333" s="1145">
        <f t="shared" ref="E333:E351" si="88">F333+L333</f>
        <v>0</v>
      </c>
      <c r="F333" s="1153">
        <f>SUM(G333:K333)</f>
        <v>0</v>
      </c>
      <c r="G333" s="1153"/>
      <c r="H333" s="1153">
        <f>H334</f>
        <v>0</v>
      </c>
      <c r="I333" s="1153">
        <f>I334</f>
        <v>0</v>
      </c>
      <c r="J333" s="1153">
        <f>J334</f>
        <v>0</v>
      </c>
      <c r="K333" s="1153"/>
      <c r="L333" s="1153">
        <f>L334</f>
        <v>0</v>
      </c>
      <c r="M333" s="1145">
        <f>T333</f>
        <v>0</v>
      </c>
      <c r="N333" s="1153">
        <f>T333</f>
        <v>0</v>
      </c>
      <c r="O333" s="1153">
        <f>O335</f>
        <v>0</v>
      </c>
      <c r="P333" s="1153">
        <f>P335</f>
        <v>0</v>
      </c>
      <c r="Q333" s="1153">
        <f>Q335</f>
        <v>0</v>
      </c>
      <c r="R333" s="1153">
        <f>R335</f>
        <v>0</v>
      </c>
      <c r="S333" s="1153">
        <f>S335</f>
        <v>0</v>
      </c>
      <c r="T333" s="1153"/>
      <c r="U333" s="1154"/>
      <c r="V333" s="1145">
        <f>M333+E333</f>
        <v>0</v>
      </c>
    </row>
    <row r="334" spans="1:22" s="1166" customFormat="1" ht="78" hidden="1" customHeight="1" x14ac:dyDescent="0.25">
      <c r="A334" s="1150"/>
      <c r="B334" s="1168"/>
      <c r="C334" s="1168"/>
      <c r="D334" s="1186" t="s">
        <v>1110</v>
      </c>
      <c r="E334" s="1161">
        <f t="shared" si="88"/>
        <v>0</v>
      </c>
      <c r="F334" s="1163">
        <f>G334+H334+I334+J334+K334</f>
        <v>0</v>
      </c>
      <c r="G334" s="1153"/>
      <c r="H334" s="1163"/>
      <c r="I334" s="1163"/>
      <c r="J334" s="1163"/>
      <c r="K334" s="1163"/>
      <c r="L334" s="1163"/>
      <c r="M334" s="1145">
        <f>T334</f>
        <v>0</v>
      </c>
      <c r="N334" s="1164"/>
      <c r="O334" s="1163"/>
      <c r="P334" s="1163"/>
      <c r="Q334" s="1164"/>
      <c r="R334" s="1164"/>
      <c r="S334" s="1164"/>
      <c r="T334" s="1164"/>
      <c r="U334" s="1206"/>
      <c r="V334" s="1161">
        <f t="shared" si="84"/>
        <v>0</v>
      </c>
    </row>
    <row r="335" spans="1:22" s="1166" customFormat="1" ht="79.2" hidden="1" customHeight="1" x14ac:dyDescent="0.25">
      <c r="A335" s="1150"/>
      <c r="B335" s="1168"/>
      <c r="C335" s="1168"/>
      <c r="D335" s="1186" t="s">
        <v>1284</v>
      </c>
      <c r="E335" s="1161">
        <f t="shared" si="88"/>
        <v>0</v>
      </c>
      <c r="F335" s="1163">
        <f>G335+H335+I335+J335+K335</f>
        <v>0</v>
      </c>
      <c r="G335" s="1153"/>
      <c r="H335" s="1163"/>
      <c r="I335" s="1163"/>
      <c r="J335" s="1163"/>
      <c r="K335" s="1163"/>
      <c r="L335" s="1163"/>
      <c r="M335" s="1145">
        <f>T335</f>
        <v>0</v>
      </c>
      <c r="N335" s="1163">
        <f>T335</f>
        <v>0</v>
      </c>
      <c r="O335" s="1163"/>
      <c r="P335" s="1163"/>
      <c r="Q335" s="1163"/>
      <c r="R335" s="1163"/>
      <c r="S335" s="1163"/>
      <c r="T335" s="1163"/>
      <c r="U335" s="1165"/>
      <c r="V335" s="1161">
        <f t="shared" si="84"/>
        <v>0</v>
      </c>
    </row>
    <row r="336" spans="1:22" ht="15.75" hidden="1" customHeight="1" x14ac:dyDescent="0.25">
      <c r="A336" s="1150" t="s">
        <v>1285</v>
      </c>
      <c r="B336" s="1151" t="s">
        <v>472</v>
      </c>
      <c r="C336" s="1151" t="s">
        <v>1109</v>
      </c>
      <c r="D336" s="1176" t="s">
        <v>471</v>
      </c>
      <c r="E336" s="1145">
        <f t="shared" si="88"/>
        <v>0</v>
      </c>
      <c r="F336" s="1153">
        <f>F337</f>
        <v>0</v>
      </c>
      <c r="G336" s="1153"/>
      <c r="H336" s="1153"/>
      <c r="I336" s="1153"/>
      <c r="J336" s="1153"/>
      <c r="K336" s="1153"/>
      <c r="L336" s="1153"/>
      <c r="M336" s="1145">
        <f>O336+T336</f>
        <v>0</v>
      </c>
      <c r="N336" s="1153">
        <f>T336</f>
        <v>0</v>
      </c>
      <c r="O336" s="1153"/>
      <c r="P336" s="1153"/>
      <c r="Q336" s="1181"/>
      <c r="R336" s="1181"/>
      <c r="S336" s="1181"/>
      <c r="T336" s="1153"/>
      <c r="U336" s="1154"/>
      <c r="V336" s="1145">
        <f t="shared" si="84"/>
        <v>0</v>
      </c>
    </row>
    <row r="337" spans="1:22" s="1166" customFormat="1" ht="70.95" hidden="1" customHeight="1" x14ac:dyDescent="0.25">
      <c r="A337" s="1150"/>
      <c r="B337" s="1168"/>
      <c r="C337" s="1168"/>
      <c r="D337" s="1254" t="s">
        <v>1286</v>
      </c>
      <c r="E337" s="1145">
        <f t="shared" si="88"/>
        <v>0</v>
      </c>
      <c r="F337" s="1163">
        <f>G337+H337+I337+J337+K337</f>
        <v>0</v>
      </c>
      <c r="G337" s="1163">
        <f>G336</f>
        <v>0</v>
      </c>
      <c r="H337" s="1163">
        <f>H336</f>
        <v>0</v>
      </c>
      <c r="I337" s="1163">
        <f>I336</f>
        <v>0</v>
      </c>
      <c r="J337" s="1163">
        <f>J336</f>
        <v>0</v>
      </c>
      <c r="K337" s="1163">
        <f>K336</f>
        <v>0</v>
      </c>
      <c r="L337" s="1163"/>
      <c r="M337" s="1161">
        <f>O337+T337</f>
        <v>0</v>
      </c>
      <c r="N337" s="1163">
        <f>T337</f>
        <v>0</v>
      </c>
      <c r="O337" s="1163"/>
      <c r="P337" s="1163"/>
      <c r="Q337" s="1164"/>
      <c r="R337" s="1164"/>
      <c r="S337" s="1164"/>
      <c r="T337" s="1163"/>
      <c r="U337" s="1206"/>
      <c r="V337" s="1161">
        <f t="shared" si="84"/>
        <v>0</v>
      </c>
    </row>
    <row r="338" spans="1:22" ht="15.6" hidden="1" x14ac:dyDescent="0.25">
      <c r="A338" s="1150" t="s">
        <v>1287</v>
      </c>
      <c r="B338" s="1151" t="s">
        <v>478</v>
      </c>
      <c r="C338" s="1151" t="s">
        <v>1288</v>
      </c>
      <c r="D338" s="1152" t="s">
        <v>477</v>
      </c>
      <c r="E338" s="1145">
        <f t="shared" si="88"/>
        <v>0</v>
      </c>
      <c r="F338" s="1153">
        <f>G338+H338+I338+J338+K338</f>
        <v>0</v>
      </c>
      <c r="G338" s="1153"/>
      <c r="H338" s="1153"/>
      <c r="I338" s="1153"/>
      <c r="J338" s="1153"/>
      <c r="K338" s="1153"/>
      <c r="L338" s="1153"/>
      <c r="M338" s="1145">
        <f>O338+T338</f>
        <v>0</v>
      </c>
      <c r="N338" s="1153">
        <f>T338</f>
        <v>0</v>
      </c>
      <c r="O338" s="1153"/>
      <c r="P338" s="1153"/>
      <c r="Q338" s="1181"/>
      <c r="R338" s="1181"/>
      <c r="S338" s="1181"/>
      <c r="T338" s="1153"/>
      <c r="U338" s="1154"/>
      <c r="V338" s="1145">
        <f t="shared" si="84"/>
        <v>0</v>
      </c>
    </row>
    <row r="339" spans="1:22" ht="15.6" hidden="1" x14ac:dyDescent="0.25">
      <c r="A339" s="1150" t="s">
        <v>1289</v>
      </c>
      <c r="B339" s="1151" t="s">
        <v>484</v>
      </c>
      <c r="C339" s="1151" t="s">
        <v>1290</v>
      </c>
      <c r="D339" s="1152" t="s">
        <v>483</v>
      </c>
      <c r="E339" s="1145">
        <f t="shared" si="88"/>
        <v>0</v>
      </c>
      <c r="F339" s="1153">
        <f>G339+H339+I339+J339+K339</f>
        <v>0</v>
      </c>
      <c r="G339" s="1153"/>
      <c r="H339" s="1153"/>
      <c r="I339" s="1153"/>
      <c r="J339" s="1153"/>
      <c r="K339" s="1153"/>
      <c r="L339" s="1153"/>
      <c r="M339" s="1145">
        <f>T339</f>
        <v>0</v>
      </c>
      <c r="N339" s="1153">
        <f>T339</f>
        <v>0</v>
      </c>
      <c r="O339" s="1153"/>
      <c r="P339" s="1153"/>
      <c r="Q339" s="1181"/>
      <c r="R339" s="1181"/>
      <c r="S339" s="1181"/>
      <c r="T339" s="1153"/>
      <c r="U339" s="1154"/>
      <c r="V339" s="1145">
        <f t="shared" si="84"/>
        <v>0</v>
      </c>
    </row>
    <row r="340" spans="1:22" s="1166" customFormat="1" ht="16.2" hidden="1" x14ac:dyDescent="0.25">
      <c r="A340" s="1159"/>
      <c r="B340" s="1168"/>
      <c r="C340" s="1168"/>
      <c r="D340" s="1254" t="s">
        <v>904</v>
      </c>
      <c r="E340" s="1145">
        <f t="shared" si="88"/>
        <v>0</v>
      </c>
      <c r="F340" s="1163">
        <f>G340+H340+I340+J340+K340</f>
        <v>0</v>
      </c>
      <c r="G340" s="1163"/>
      <c r="H340" s="1163"/>
      <c r="I340" s="1163"/>
      <c r="J340" s="1163"/>
      <c r="K340" s="1163"/>
      <c r="L340" s="1163"/>
      <c r="M340" s="1145">
        <f>T340</f>
        <v>0</v>
      </c>
      <c r="N340" s="1163"/>
      <c r="O340" s="1163"/>
      <c r="P340" s="1163"/>
      <c r="Q340" s="1164"/>
      <c r="R340" s="1164"/>
      <c r="S340" s="1164"/>
      <c r="T340" s="1163"/>
      <c r="U340" s="1206"/>
      <c r="V340" s="1145">
        <f t="shared" si="84"/>
        <v>0</v>
      </c>
    </row>
    <row r="341" spans="1:22" ht="29.4" hidden="1" customHeight="1" x14ac:dyDescent="0.25">
      <c r="A341" s="1150" t="s">
        <v>1291</v>
      </c>
      <c r="B341" s="1151" t="s">
        <v>486</v>
      </c>
      <c r="C341" s="1151" t="s">
        <v>1292</v>
      </c>
      <c r="D341" s="1152" t="s">
        <v>485</v>
      </c>
      <c r="E341" s="1145">
        <f t="shared" si="88"/>
        <v>0</v>
      </c>
      <c r="F341" s="1153">
        <f>G341+H341+I341+J341+K341</f>
        <v>0</v>
      </c>
      <c r="G341" s="1153"/>
      <c r="H341" s="1153"/>
      <c r="I341" s="1153"/>
      <c r="J341" s="1153"/>
      <c r="K341" s="1153"/>
      <c r="L341" s="1153"/>
      <c r="M341" s="1145">
        <f>T341</f>
        <v>0</v>
      </c>
      <c r="N341" s="1153">
        <f>T341</f>
        <v>0</v>
      </c>
      <c r="O341" s="1153"/>
      <c r="P341" s="1153"/>
      <c r="Q341" s="1181"/>
      <c r="R341" s="1181"/>
      <c r="S341" s="1181"/>
      <c r="T341" s="1153"/>
      <c r="U341" s="1154"/>
      <c r="V341" s="1145">
        <f t="shared" si="84"/>
        <v>0</v>
      </c>
    </row>
    <row r="342" spans="1:22" ht="36" hidden="1" customHeight="1" x14ac:dyDescent="0.25">
      <c r="A342" s="1150" t="s">
        <v>1293</v>
      </c>
      <c r="B342" s="1151" t="s">
        <v>488</v>
      </c>
      <c r="C342" s="1151" t="s">
        <v>1292</v>
      </c>
      <c r="D342" s="1255" t="s">
        <v>487</v>
      </c>
      <c r="E342" s="1145">
        <f t="shared" si="88"/>
        <v>0</v>
      </c>
      <c r="F342" s="1153"/>
      <c r="G342" s="1153"/>
      <c r="H342" s="1153"/>
      <c r="I342" s="1153"/>
      <c r="J342" s="1153"/>
      <c r="K342" s="1153"/>
      <c r="L342" s="1153"/>
      <c r="M342" s="1145">
        <f t="shared" ref="M342:M351" si="89">O342+T342</f>
        <v>0</v>
      </c>
      <c r="N342" s="1153"/>
      <c r="O342" s="1153"/>
      <c r="P342" s="1153"/>
      <c r="Q342" s="1181"/>
      <c r="R342" s="1181"/>
      <c r="S342" s="1181"/>
      <c r="T342" s="1153"/>
      <c r="U342" s="1154"/>
      <c r="V342" s="1145">
        <f t="shared" si="84"/>
        <v>0</v>
      </c>
    </row>
    <row r="343" spans="1:22" s="1166" customFormat="1" ht="16.2" hidden="1" x14ac:dyDescent="0.25">
      <c r="A343" s="1159"/>
      <c r="B343" s="1168"/>
      <c r="C343" s="1168"/>
      <c r="D343" s="1186" t="s">
        <v>1294</v>
      </c>
      <c r="E343" s="1161"/>
      <c r="F343" s="1163"/>
      <c r="G343" s="1163"/>
      <c r="H343" s="1163"/>
      <c r="I343" s="1163"/>
      <c r="J343" s="1163"/>
      <c r="K343" s="1163"/>
      <c r="L343" s="1163"/>
      <c r="M343" s="1145">
        <f t="shared" si="89"/>
        <v>0</v>
      </c>
      <c r="N343" s="1163"/>
      <c r="O343" s="1163"/>
      <c r="P343" s="1163"/>
      <c r="Q343" s="1164"/>
      <c r="R343" s="1164"/>
      <c r="S343" s="1164"/>
      <c r="T343" s="1163"/>
      <c r="U343" s="1206"/>
      <c r="V343" s="1145">
        <f t="shared" si="84"/>
        <v>0</v>
      </c>
    </row>
    <row r="344" spans="1:22" ht="15.6" hidden="1" x14ac:dyDescent="0.25">
      <c r="A344" s="1150" t="s">
        <v>1295</v>
      </c>
      <c r="B344" s="1151" t="s">
        <v>1296</v>
      </c>
      <c r="C344" s="1151" t="s">
        <v>275</v>
      </c>
      <c r="D344" s="1152" t="s">
        <v>236</v>
      </c>
      <c r="E344" s="1145">
        <f>F344+L344</f>
        <v>0</v>
      </c>
      <c r="F344" s="1153">
        <f t="shared" ref="F344:F351" si="90">SUM(G344:K344)</f>
        <v>0</v>
      </c>
      <c r="G344" s="1153"/>
      <c r="H344" s="1153"/>
      <c r="I344" s="1153"/>
      <c r="J344" s="1153"/>
      <c r="K344" s="1153">
        <f>K345</f>
        <v>0</v>
      </c>
      <c r="L344" s="1153"/>
      <c r="M344" s="1145">
        <f t="shared" si="89"/>
        <v>0</v>
      </c>
      <c r="N344" s="1153">
        <f>T344</f>
        <v>0</v>
      </c>
      <c r="O344" s="1153"/>
      <c r="P344" s="1153"/>
      <c r="Q344" s="1181"/>
      <c r="R344" s="1181"/>
      <c r="S344" s="1181"/>
      <c r="T344" s="1153"/>
      <c r="U344" s="1154"/>
      <c r="V344" s="1145">
        <f t="shared" si="84"/>
        <v>0</v>
      </c>
    </row>
    <row r="345" spans="1:22" ht="33.6" hidden="1" customHeight="1" x14ac:dyDescent="0.25">
      <c r="A345" s="1150"/>
      <c r="B345" s="1151"/>
      <c r="C345" s="1151"/>
      <c r="D345" s="1203" t="s">
        <v>1297</v>
      </c>
      <c r="E345" s="1161">
        <f>F345+L345</f>
        <v>0</v>
      </c>
      <c r="F345" s="1162">
        <f>SUM(G345:K345)</f>
        <v>0</v>
      </c>
      <c r="G345" s="1163"/>
      <c r="H345" s="1163"/>
      <c r="I345" s="1163"/>
      <c r="J345" s="1163"/>
      <c r="K345" s="1163"/>
      <c r="L345" s="1153"/>
      <c r="M345" s="1161">
        <f t="shared" si="89"/>
        <v>0</v>
      </c>
      <c r="N345" s="1163">
        <f>T345</f>
        <v>0</v>
      </c>
      <c r="O345" s="1163"/>
      <c r="P345" s="1163"/>
      <c r="Q345" s="1164"/>
      <c r="R345" s="1164"/>
      <c r="S345" s="1164"/>
      <c r="T345" s="1163"/>
      <c r="U345" s="1165"/>
      <c r="V345" s="1161">
        <f t="shared" si="84"/>
        <v>0</v>
      </c>
    </row>
    <row r="346" spans="1:22" s="1166" customFormat="1" ht="44.4" hidden="1" customHeight="1" x14ac:dyDescent="0.25">
      <c r="A346" s="1150" t="s">
        <v>1298</v>
      </c>
      <c r="B346" s="1151" t="s">
        <v>1299</v>
      </c>
      <c r="C346" s="1151" t="s">
        <v>275</v>
      </c>
      <c r="D346" s="1176" t="s">
        <v>1300</v>
      </c>
      <c r="E346" s="1145">
        <f t="shared" si="88"/>
        <v>0</v>
      </c>
      <c r="F346" s="1172">
        <f t="shared" si="90"/>
        <v>0</v>
      </c>
      <c r="G346" s="1163"/>
      <c r="H346" s="1163"/>
      <c r="I346" s="1163"/>
      <c r="J346" s="1163"/>
      <c r="K346" s="1153"/>
      <c r="L346" s="1153"/>
      <c r="M346" s="1145">
        <f t="shared" si="89"/>
        <v>0</v>
      </c>
      <c r="N346" s="1153">
        <f t="shared" ref="N346:N351" si="91">T346</f>
        <v>0</v>
      </c>
      <c r="O346" s="1153"/>
      <c r="P346" s="1153"/>
      <c r="Q346" s="1153"/>
      <c r="R346" s="1153"/>
      <c r="S346" s="1153"/>
      <c r="T346" s="1153">
        <f>T349+T347+T348+T350+T351</f>
        <v>0</v>
      </c>
      <c r="U346" s="1153">
        <f>U349+U347+U348+U350+U351</f>
        <v>0</v>
      </c>
      <c r="V346" s="1145">
        <f t="shared" si="84"/>
        <v>0</v>
      </c>
    </row>
    <row r="347" spans="1:22" s="1166" customFormat="1" ht="46.2" hidden="1" customHeight="1" x14ac:dyDescent="0.25">
      <c r="A347" s="1159"/>
      <c r="B347" s="1168"/>
      <c r="C347" s="1168"/>
      <c r="D347" s="1203" t="s">
        <v>1301</v>
      </c>
      <c r="E347" s="1161">
        <f t="shared" si="88"/>
        <v>0</v>
      </c>
      <c r="F347" s="1162">
        <f t="shared" si="90"/>
        <v>0</v>
      </c>
      <c r="G347" s="1163"/>
      <c r="H347" s="1163"/>
      <c r="I347" s="1163"/>
      <c r="J347" s="1163"/>
      <c r="K347" s="1163"/>
      <c r="L347" s="1163"/>
      <c r="M347" s="1161">
        <f t="shared" si="89"/>
        <v>0</v>
      </c>
      <c r="N347" s="1163">
        <f t="shared" si="91"/>
        <v>0</v>
      </c>
      <c r="O347" s="1163"/>
      <c r="P347" s="1163"/>
      <c r="Q347" s="1163"/>
      <c r="R347" s="1163"/>
      <c r="S347" s="1163"/>
      <c r="T347" s="1163"/>
      <c r="U347" s="1165"/>
      <c r="V347" s="1161">
        <f t="shared" si="84"/>
        <v>0</v>
      </c>
    </row>
    <row r="348" spans="1:22" s="1166" customFormat="1" ht="49.95" hidden="1" customHeight="1" x14ac:dyDescent="0.25">
      <c r="A348" s="1159"/>
      <c r="B348" s="1168"/>
      <c r="C348" s="1168"/>
      <c r="D348" s="1203" t="s">
        <v>1297</v>
      </c>
      <c r="E348" s="1161">
        <f t="shared" si="88"/>
        <v>0</v>
      </c>
      <c r="F348" s="1162">
        <f t="shared" si="90"/>
        <v>0</v>
      </c>
      <c r="G348" s="1163"/>
      <c r="H348" s="1163"/>
      <c r="I348" s="1163"/>
      <c r="J348" s="1163"/>
      <c r="K348" s="1163"/>
      <c r="L348" s="1163"/>
      <c r="M348" s="1161">
        <f t="shared" si="89"/>
        <v>0</v>
      </c>
      <c r="N348" s="1163">
        <f t="shared" si="91"/>
        <v>0</v>
      </c>
      <c r="O348" s="1163"/>
      <c r="P348" s="1163"/>
      <c r="Q348" s="1163"/>
      <c r="R348" s="1163"/>
      <c r="S348" s="1163"/>
      <c r="T348" s="1163"/>
      <c r="U348" s="1163"/>
      <c r="V348" s="1161">
        <f t="shared" si="84"/>
        <v>0</v>
      </c>
    </row>
    <row r="349" spans="1:22" s="1166" customFormat="1" ht="40.200000000000003" hidden="1" customHeight="1" x14ac:dyDescent="0.25">
      <c r="A349" s="1159"/>
      <c r="B349" s="1168"/>
      <c r="C349" s="1168"/>
      <c r="D349" s="1203" t="s">
        <v>1302</v>
      </c>
      <c r="E349" s="1161">
        <f t="shared" si="88"/>
        <v>0</v>
      </c>
      <c r="F349" s="1162">
        <f t="shared" si="90"/>
        <v>0</v>
      </c>
      <c r="G349" s="1163"/>
      <c r="H349" s="1163"/>
      <c r="I349" s="1163"/>
      <c r="J349" s="1163"/>
      <c r="K349" s="1163"/>
      <c r="L349" s="1163"/>
      <c r="M349" s="1161">
        <f t="shared" si="89"/>
        <v>0</v>
      </c>
      <c r="N349" s="1163">
        <f t="shared" si="91"/>
        <v>0</v>
      </c>
      <c r="O349" s="1163"/>
      <c r="P349" s="1163"/>
      <c r="Q349" s="1163"/>
      <c r="R349" s="1163"/>
      <c r="S349" s="1163"/>
      <c r="T349" s="1163"/>
      <c r="U349" s="1167"/>
      <c r="V349" s="1161">
        <f t="shared" si="84"/>
        <v>0</v>
      </c>
    </row>
    <row r="350" spans="1:22" s="1166" customFormat="1" ht="46.95" hidden="1" customHeight="1" x14ac:dyDescent="0.25">
      <c r="A350" s="1159"/>
      <c r="B350" s="1168"/>
      <c r="C350" s="1168"/>
      <c r="D350" s="1203" t="s">
        <v>1303</v>
      </c>
      <c r="E350" s="1161">
        <f t="shared" si="88"/>
        <v>0</v>
      </c>
      <c r="F350" s="1162">
        <f t="shared" si="90"/>
        <v>0</v>
      </c>
      <c r="G350" s="1163"/>
      <c r="H350" s="1163"/>
      <c r="I350" s="1163"/>
      <c r="J350" s="1163"/>
      <c r="K350" s="1162"/>
      <c r="L350" s="1163"/>
      <c r="M350" s="1161">
        <f>O350+T350</f>
        <v>0</v>
      </c>
      <c r="N350" s="1163">
        <f t="shared" si="91"/>
        <v>0</v>
      </c>
      <c r="O350" s="1163"/>
      <c r="P350" s="1163"/>
      <c r="Q350" s="1163"/>
      <c r="R350" s="1163"/>
      <c r="S350" s="1163"/>
      <c r="T350" s="1163"/>
      <c r="U350" s="1167"/>
      <c r="V350" s="1161">
        <f t="shared" si="84"/>
        <v>0</v>
      </c>
    </row>
    <row r="351" spans="1:22" s="1166" customFormat="1" ht="39.6" hidden="1" customHeight="1" x14ac:dyDescent="0.25">
      <c r="A351" s="1159"/>
      <c r="B351" s="1168"/>
      <c r="C351" s="1168"/>
      <c r="D351" s="1203" t="s">
        <v>1304</v>
      </c>
      <c r="E351" s="1161">
        <f t="shared" si="88"/>
        <v>0</v>
      </c>
      <c r="F351" s="1162">
        <f t="shared" si="90"/>
        <v>0</v>
      </c>
      <c r="G351" s="1163"/>
      <c r="H351" s="1163"/>
      <c r="I351" s="1163"/>
      <c r="J351" s="1163"/>
      <c r="K351" s="1163"/>
      <c r="L351" s="1163"/>
      <c r="M351" s="1161">
        <f t="shared" si="89"/>
        <v>0</v>
      </c>
      <c r="N351" s="1163">
        <f t="shared" si="91"/>
        <v>0</v>
      </c>
      <c r="O351" s="1163"/>
      <c r="P351" s="1163"/>
      <c r="Q351" s="1163"/>
      <c r="R351" s="1163"/>
      <c r="S351" s="1163"/>
      <c r="T351" s="1163"/>
      <c r="U351" s="1165"/>
      <c r="V351" s="1161">
        <f t="shared" si="84"/>
        <v>0</v>
      </c>
    </row>
    <row r="352" spans="1:22" s="1166" customFormat="1" ht="122.25" hidden="1" customHeight="1" x14ac:dyDescent="0.25">
      <c r="A352" s="1150" t="s">
        <v>1305</v>
      </c>
      <c r="B352" s="1151" t="s">
        <v>1306</v>
      </c>
      <c r="C352" s="1151" t="s">
        <v>275</v>
      </c>
      <c r="D352" s="1176" t="s">
        <v>564</v>
      </c>
      <c r="E352" s="1145">
        <f>F352+L352</f>
        <v>0</v>
      </c>
      <c r="F352" s="1172">
        <f>SUM(G352:K352)</f>
        <v>0</v>
      </c>
      <c r="G352" s="1163"/>
      <c r="H352" s="1163"/>
      <c r="I352" s="1163"/>
      <c r="J352" s="1163"/>
      <c r="K352" s="1153">
        <f>K353+K354</f>
        <v>0</v>
      </c>
      <c r="L352" s="1153"/>
      <c r="M352" s="1145">
        <f>O352+T352</f>
        <v>0</v>
      </c>
      <c r="N352" s="1154">
        <f t="shared" ref="N352:U352" si="92">SUM(N353:N354)</f>
        <v>0</v>
      </c>
      <c r="O352" s="1154">
        <f t="shared" si="92"/>
        <v>0</v>
      </c>
      <c r="P352" s="1154">
        <f t="shared" si="92"/>
        <v>0</v>
      </c>
      <c r="Q352" s="1154">
        <f t="shared" si="92"/>
        <v>0</v>
      </c>
      <c r="R352" s="1154">
        <f t="shared" si="92"/>
        <v>0</v>
      </c>
      <c r="S352" s="1154">
        <f t="shared" si="92"/>
        <v>0</v>
      </c>
      <c r="T352" s="1154">
        <f t="shared" si="92"/>
        <v>0</v>
      </c>
      <c r="U352" s="1154">
        <f t="shared" si="92"/>
        <v>0</v>
      </c>
      <c r="V352" s="1145">
        <f>M352+E352</f>
        <v>0</v>
      </c>
    </row>
    <row r="353" spans="1:24" s="1166" customFormat="1" ht="40.200000000000003" hidden="1" customHeight="1" x14ac:dyDescent="0.25">
      <c r="A353" s="1159"/>
      <c r="B353" s="1168"/>
      <c r="C353" s="1168"/>
      <c r="D353" s="1203" t="s">
        <v>1307</v>
      </c>
      <c r="E353" s="1161">
        <f>F353+L353</f>
        <v>0</v>
      </c>
      <c r="F353" s="1162">
        <f>SUM(G353:K353)</f>
        <v>0</v>
      </c>
      <c r="G353" s="1163"/>
      <c r="H353" s="1163"/>
      <c r="I353" s="1163"/>
      <c r="J353" s="1163"/>
      <c r="K353" s="1163">
        <f>79000000-4413000-187000-10000000-4500000-16491000-6200000-5500000-490000-5164631-1000000-3450000-10620816-10983553</f>
        <v>0</v>
      </c>
      <c r="L353" s="1163"/>
      <c r="M353" s="1161">
        <f>O353+T353</f>
        <v>0</v>
      </c>
      <c r="N353" s="1163">
        <f>T353</f>
        <v>0</v>
      </c>
      <c r="O353" s="1163"/>
      <c r="P353" s="1163"/>
      <c r="Q353" s="1163"/>
      <c r="R353" s="1163"/>
      <c r="S353" s="1163"/>
      <c r="T353" s="1163"/>
      <c r="U353" s="1165">
        <f>T353</f>
        <v>0</v>
      </c>
      <c r="V353" s="1161">
        <f>M353+E353</f>
        <v>0</v>
      </c>
    </row>
    <row r="354" spans="1:24" s="1166" customFormat="1" ht="39" hidden="1" customHeight="1" x14ac:dyDescent="0.25">
      <c r="A354" s="1159"/>
      <c r="B354" s="1168"/>
      <c r="C354" s="1168"/>
      <c r="D354" s="1203" t="s">
        <v>1308</v>
      </c>
      <c r="E354" s="1161">
        <f>F354+L354</f>
        <v>0</v>
      </c>
      <c r="F354" s="1162">
        <f>SUM(G354:K354)</f>
        <v>0</v>
      </c>
      <c r="G354" s="1163"/>
      <c r="H354" s="1163"/>
      <c r="I354" s="1163"/>
      <c r="J354" s="1163"/>
      <c r="K354" s="1163">
        <f>1000000-1000000</f>
        <v>0</v>
      </c>
      <c r="L354" s="1163"/>
      <c r="M354" s="1161">
        <f>O354+T354</f>
        <v>0</v>
      </c>
      <c r="N354" s="1163">
        <f>T354</f>
        <v>0</v>
      </c>
      <c r="O354" s="1163"/>
      <c r="P354" s="1163"/>
      <c r="Q354" s="1163"/>
      <c r="R354" s="1163"/>
      <c r="S354" s="1163"/>
      <c r="T354" s="1163">
        <f>3000000-1500000-1500000</f>
        <v>0</v>
      </c>
      <c r="U354" s="1165">
        <f>T354</f>
        <v>0</v>
      </c>
      <c r="V354" s="1161">
        <f>M354+E354</f>
        <v>0</v>
      </c>
    </row>
    <row r="355" spans="1:24" s="1166" customFormat="1" ht="15.6" x14ac:dyDescent="0.25">
      <c r="A355" s="1142" t="s">
        <v>1309</v>
      </c>
      <c r="B355" s="1143"/>
      <c r="C355" s="1143"/>
      <c r="D355" s="1144" t="s">
        <v>1310</v>
      </c>
      <c r="E355" s="1145">
        <f t="shared" ref="E355:T356" si="93">E356</f>
        <v>14071119</v>
      </c>
      <c r="F355" s="1145">
        <f t="shared" si="93"/>
        <v>14071119</v>
      </c>
      <c r="G355" s="1145">
        <f t="shared" si="93"/>
        <v>10787120</v>
      </c>
      <c r="H355" s="1145">
        <f t="shared" si="93"/>
        <v>0</v>
      </c>
      <c r="I355" s="1145">
        <f t="shared" si="93"/>
        <v>0</v>
      </c>
      <c r="J355" s="1145">
        <f t="shared" si="93"/>
        <v>0</v>
      </c>
      <c r="K355" s="1145">
        <f t="shared" si="93"/>
        <v>3283999</v>
      </c>
      <c r="L355" s="1145">
        <f t="shared" si="93"/>
        <v>0</v>
      </c>
      <c r="M355" s="1145">
        <f t="shared" si="93"/>
        <v>0</v>
      </c>
      <c r="N355" s="1145">
        <f t="shared" si="93"/>
        <v>0</v>
      </c>
      <c r="O355" s="1145">
        <f t="shared" si="93"/>
        <v>0</v>
      </c>
      <c r="P355" s="1145">
        <f t="shared" si="93"/>
        <v>0</v>
      </c>
      <c r="Q355" s="1145">
        <f t="shared" si="93"/>
        <v>0</v>
      </c>
      <c r="R355" s="1145">
        <f t="shared" si="93"/>
        <v>0</v>
      </c>
      <c r="S355" s="1145">
        <f t="shared" si="93"/>
        <v>0</v>
      </c>
      <c r="T355" s="1145">
        <f t="shared" si="93"/>
        <v>0</v>
      </c>
      <c r="U355" s="1146">
        <f t="shared" ref="N355:V356" si="94">U356</f>
        <v>0</v>
      </c>
      <c r="V355" s="1145">
        <f t="shared" si="84"/>
        <v>14071119</v>
      </c>
    </row>
    <row r="356" spans="1:24" s="1166" customFormat="1" ht="15.6" x14ac:dyDescent="0.25">
      <c r="A356" s="1142" t="s">
        <v>1311</v>
      </c>
      <c r="B356" s="1143"/>
      <c r="C356" s="1143"/>
      <c r="D356" s="1144" t="s">
        <v>1310</v>
      </c>
      <c r="E356" s="1145">
        <f>E357</f>
        <v>14071119</v>
      </c>
      <c r="F356" s="1145">
        <f>F357</f>
        <v>14071119</v>
      </c>
      <c r="G356" s="1145">
        <f t="shared" si="93"/>
        <v>10787120</v>
      </c>
      <c r="H356" s="1145">
        <f t="shared" si="93"/>
        <v>0</v>
      </c>
      <c r="I356" s="1145">
        <f t="shared" si="93"/>
        <v>0</v>
      </c>
      <c r="J356" s="1145">
        <f t="shared" si="93"/>
        <v>0</v>
      </c>
      <c r="K356" s="1145">
        <f t="shared" si="93"/>
        <v>3283999</v>
      </c>
      <c r="L356" s="1145">
        <f t="shared" si="93"/>
        <v>0</v>
      </c>
      <c r="M356" s="1145">
        <f t="shared" si="93"/>
        <v>0</v>
      </c>
      <c r="N356" s="1145">
        <f t="shared" si="94"/>
        <v>0</v>
      </c>
      <c r="O356" s="1145">
        <f t="shared" si="93"/>
        <v>0</v>
      </c>
      <c r="P356" s="1145">
        <f t="shared" si="94"/>
        <v>0</v>
      </c>
      <c r="Q356" s="1145">
        <f t="shared" si="94"/>
        <v>0</v>
      </c>
      <c r="R356" s="1145">
        <f t="shared" si="94"/>
        <v>0</v>
      </c>
      <c r="S356" s="1145">
        <f t="shared" si="94"/>
        <v>0</v>
      </c>
      <c r="T356" s="1145">
        <f t="shared" si="94"/>
        <v>0</v>
      </c>
      <c r="U356" s="1146">
        <f t="shared" si="94"/>
        <v>0</v>
      </c>
      <c r="V356" s="1145">
        <f t="shared" si="94"/>
        <v>14071119</v>
      </c>
    </row>
    <row r="357" spans="1:24" s="1166" customFormat="1" ht="48" customHeight="1" x14ac:dyDescent="0.25">
      <c r="A357" s="1150" t="s">
        <v>1312</v>
      </c>
      <c r="B357" s="1151" t="s">
        <v>273</v>
      </c>
      <c r="C357" s="1151" t="s">
        <v>885</v>
      </c>
      <c r="D357" s="1152" t="s">
        <v>886</v>
      </c>
      <c r="E357" s="1145">
        <f>F357</f>
        <v>14071119</v>
      </c>
      <c r="F357" s="1153">
        <f>SUM(G357:K357)</f>
        <v>14071119</v>
      </c>
      <c r="G357" s="1153">
        <v>10787120</v>
      </c>
      <c r="H357" s="1153"/>
      <c r="I357" s="1153"/>
      <c r="J357" s="1153"/>
      <c r="K357" s="1153">
        <f>13771119-10787120+300000</f>
        <v>3283999</v>
      </c>
      <c r="L357" s="1153"/>
      <c r="M357" s="1145">
        <f>O357+T357</f>
        <v>0</v>
      </c>
      <c r="N357" s="1153">
        <f>T357</f>
        <v>0</v>
      </c>
      <c r="O357" s="1153"/>
      <c r="P357" s="1153"/>
      <c r="Q357" s="1153"/>
      <c r="R357" s="1153"/>
      <c r="S357" s="1153"/>
      <c r="T357" s="1153"/>
      <c r="U357" s="1154"/>
      <c r="V357" s="1145">
        <f t="shared" ref="V357:V379" si="95">M357+E357</f>
        <v>14071119</v>
      </c>
    </row>
    <row r="358" spans="1:24" s="1166" customFormat="1" ht="48.6" customHeight="1" x14ac:dyDescent="0.25">
      <c r="A358" s="1159"/>
      <c r="B358" s="1168"/>
      <c r="C358" s="1168"/>
      <c r="D358" s="1203" t="s">
        <v>1313</v>
      </c>
      <c r="E358" s="1161">
        <f>F358</f>
        <v>1000000</v>
      </c>
      <c r="F358" s="1163">
        <f>K358</f>
        <v>1000000</v>
      </c>
      <c r="G358" s="1163"/>
      <c r="H358" s="1163"/>
      <c r="I358" s="1163"/>
      <c r="J358" s="1163"/>
      <c r="K358" s="1163">
        <f>700000+300000</f>
        <v>1000000</v>
      </c>
      <c r="L358" s="1163"/>
      <c r="M358" s="1161"/>
      <c r="N358" s="1163"/>
      <c r="O358" s="1163"/>
      <c r="P358" s="1163"/>
      <c r="Q358" s="1163"/>
      <c r="R358" s="1163"/>
      <c r="S358" s="1163"/>
      <c r="T358" s="1163"/>
      <c r="U358" s="1165"/>
      <c r="V358" s="1161">
        <f t="shared" si="95"/>
        <v>1000000</v>
      </c>
    </row>
    <row r="359" spans="1:24" s="1147" customFormat="1" ht="15.6" x14ac:dyDescent="0.25">
      <c r="A359" s="1142" t="s">
        <v>1314</v>
      </c>
      <c r="B359" s="1143"/>
      <c r="C359" s="1142"/>
      <c r="D359" s="1144" t="s">
        <v>1315</v>
      </c>
      <c r="E359" s="1145">
        <f>E360</f>
        <v>38126725</v>
      </c>
      <c r="F359" s="1145">
        <f t="shared" ref="F359:U359" si="96">F360</f>
        <v>38126725</v>
      </c>
      <c r="G359" s="1145">
        <f t="shared" si="96"/>
        <v>29000712</v>
      </c>
      <c r="H359" s="1145">
        <f t="shared" si="96"/>
        <v>0</v>
      </c>
      <c r="I359" s="1145">
        <f t="shared" si="96"/>
        <v>0</v>
      </c>
      <c r="J359" s="1145">
        <f t="shared" si="96"/>
        <v>0</v>
      </c>
      <c r="K359" s="1145">
        <f t="shared" si="96"/>
        <v>9126013</v>
      </c>
      <c r="L359" s="1145">
        <f t="shared" si="96"/>
        <v>0</v>
      </c>
      <c r="M359" s="1145">
        <f t="shared" si="96"/>
        <v>0</v>
      </c>
      <c r="N359" s="1145">
        <f t="shared" si="96"/>
        <v>0</v>
      </c>
      <c r="O359" s="1145">
        <f t="shared" si="96"/>
        <v>0</v>
      </c>
      <c r="P359" s="1145">
        <f t="shared" si="96"/>
        <v>0</v>
      </c>
      <c r="Q359" s="1145">
        <f t="shared" si="96"/>
        <v>0</v>
      </c>
      <c r="R359" s="1145">
        <f t="shared" si="96"/>
        <v>0</v>
      </c>
      <c r="S359" s="1145">
        <f t="shared" si="96"/>
        <v>0</v>
      </c>
      <c r="T359" s="1145">
        <f t="shared" si="96"/>
        <v>0</v>
      </c>
      <c r="U359" s="1146">
        <f t="shared" si="96"/>
        <v>0</v>
      </c>
      <c r="V359" s="1145">
        <f t="shared" si="95"/>
        <v>38126725</v>
      </c>
      <c r="X359" s="1149"/>
    </row>
    <row r="360" spans="1:24" s="1147" customFormat="1" ht="15.6" x14ac:dyDescent="0.25">
      <c r="A360" s="1142" t="s">
        <v>1316</v>
      </c>
      <c r="B360" s="1143"/>
      <c r="C360" s="1142"/>
      <c r="D360" s="1144" t="s">
        <v>1315</v>
      </c>
      <c r="E360" s="1145">
        <f>E361+E363+E376+E380+E366</f>
        <v>38126725</v>
      </c>
      <c r="F360" s="1145">
        <f>F361+F363+F376+F380+F366</f>
        <v>38126725</v>
      </c>
      <c r="G360" s="1145">
        <f>G361+G363+G376+G366</f>
        <v>29000712</v>
      </c>
      <c r="H360" s="1145">
        <f>H361+H363+H376</f>
        <v>0</v>
      </c>
      <c r="I360" s="1145">
        <f>I361+I363+I376</f>
        <v>0</v>
      </c>
      <c r="J360" s="1145">
        <f>J361+J363+J376</f>
        <v>0</v>
      </c>
      <c r="K360" s="1145">
        <f>K361+K363+K376+K380+K366</f>
        <v>9126013</v>
      </c>
      <c r="L360" s="1145">
        <f>L361+L363+L376</f>
        <v>0</v>
      </c>
      <c r="M360" s="1145">
        <f>M374+M384+M361+M366+M371+M373+M375+M376+M380+M381+M385+M372+M386+M368+M367+M369+M370+M383+M382+M363</f>
        <v>0</v>
      </c>
      <c r="N360" s="1145">
        <f>N374+N384+N361+N366+N371+N373+N375+N376+N380+N381+N385+N372+N386+N368+N367+N369+N370+N383+N382+N363</f>
        <v>0</v>
      </c>
      <c r="O360" s="1145">
        <f>O374+O384+O361+O366+O371+O373+O375+O376+O380+O381+O385+O372+O386+O368+O367+O369+O370+O383</f>
        <v>0</v>
      </c>
      <c r="P360" s="1145">
        <f>P374+P384+P361+P366+P371+P373+P375+P376+P380+P381+P385+P372+P386+P368+P367+P369+P370+P383</f>
        <v>0</v>
      </c>
      <c r="Q360" s="1145">
        <f>Q374+Q384+Q361+Q366+Q371+Q373+Q375+Q376+Q380+Q381+Q385+Q372+Q386+Q368+Q367+Q369+Q370+Q383</f>
        <v>0</v>
      </c>
      <c r="R360" s="1145">
        <f>R374+R384+R361+R366+R371+R373+R375+R376+R380+R381+R385+R372+R386+R368+R367+R369+R370+R383</f>
        <v>0</v>
      </c>
      <c r="S360" s="1145">
        <f>S374+S384+S361+S366+S371+S373+S375+S376+S380+S381+S385+S372+S386+S368+S367+S369+S370+S383</f>
        <v>0</v>
      </c>
      <c r="T360" s="1145">
        <f>T374+T384+T361+T366+T371+T373+T375+T376+T380+T381+T385+T372+T386+T368+T367+T369+T370+T383+T382+T363</f>
        <v>0</v>
      </c>
      <c r="U360" s="1146">
        <f>U374+U384+U361+U366+U371+U373+U375+U376+U380+U381+U385+U372+U386+U368+U367+U369+U370+U383+U382+U363</f>
        <v>0</v>
      </c>
      <c r="V360" s="1145">
        <f>M360+E360</f>
        <v>38126725</v>
      </c>
    </row>
    <row r="361" spans="1:24" ht="48.6" customHeight="1" x14ac:dyDescent="0.25">
      <c r="A361" s="1150" t="s">
        <v>1317</v>
      </c>
      <c r="B361" s="1151" t="s">
        <v>273</v>
      </c>
      <c r="C361" s="1151" t="s">
        <v>885</v>
      </c>
      <c r="D361" s="1152" t="s">
        <v>886</v>
      </c>
      <c r="E361" s="1145">
        <f>F361</f>
        <v>36565725</v>
      </c>
      <c r="F361" s="1153">
        <f t="shared" ref="F361:F380" si="97">SUM(G361:K361)</f>
        <v>36565725</v>
      </c>
      <c r="G361" s="1153">
        <v>29000712</v>
      </c>
      <c r="H361" s="1153"/>
      <c r="I361" s="1153"/>
      <c r="J361" s="1153"/>
      <c r="K361" s="1153">
        <f>36565725-29000712</f>
        <v>7565013</v>
      </c>
      <c r="L361" s="1181"/>
      <c r="M361" s="1145">
        <f>T361</f>
        <v>0</v>
      </c>
      <c r="N361" s="1153">
        <f>T361</f>
        <v>0</v>
      </c>
      <c r="O361" s="1181"/>
      <c r="P361" s="1181"/>
      <c r="Q361" s="1181"/>
      <c r="R361" s="1181"/>
      <c r="S361" s="1181"/>
      <c r="T361" s="1153"/>
      <c r="U361" s="1154"/>
      <c r="V361" s="1145">
        <f t="shared" si="95"/>
        <v>36565725</v>
      </c>
    </row>
    <row r="362" spans="1:24" ht="37.950000000000003" hidden="1" customHeight="1" x14ac:dyDescent="0.25">
      <c r="A362" s="1150"/>
      <c r="B362" s="1151"/>
      <c r="C362" s="1151"/>
      <c r="D362" s="1203" t="s">
        <v>1318</v>
      </c>
      <c r="E362" s="1161">
        <f>F362</f>
        <v>0</v>
      </c>
      <c r="F362" s="1163">
        <f t="shared" si="97"/>
        <v>0</v>
      </c>
      <c r="G362" s="1163"/>
      <c r="H362" s="1163"/>
      <c r="I362" s="1163"/>
      <c r="J362" s="1163"/>
      <c r="K362" s="1163"/>
      <c r="L362" s="1164"/>
      <c r="M362" s="1161"/>
      <c r="N362" s="1163"/>
      <c r="O362" s="1164"/>
      <c r="P362" s="1164"/>
      <c r="Q362" s="1164"/>
      <c r="R362" s="1164"/>
      <c r="S362" s="1164"/>
      <c r="T362" s="1163"/>
      <c r="U362" s="1165"/>
      <c r="V362" s="1161">
        <f t="shared" si="95"/>
        <v>0</v>
      </c>
    </row>
    <row r="363" spans="1:24" ht="35.4" customHeight="1" x14ac:dyDescent="0.25">
      <c r="A363" s="1155">
        <v>1610180</v>
      </c>
      <c r="B363" s="1151" t="s">
        <v>275</v>
      </c>
      <c r="C363" s="1151" t="s">
        <v>1319</v>
      </c>
      <c r="D363" s="1170" t="s">
        <v>1320</v>
      </c>
      <c r="E363" s="1145">
        <f>F363+L363</f>
        <v>931000</v>
      </c>
      <c r="F363" s="1153">
        <f>SUM(G363:K363)</f>
        <v>931000</v>
      </c>
      <c r="G363" s="1181"/>
      <c r="H363" s="1181"/>
      <c r="I363" s="1181"/>
      <c r="J363" s="1181"/>
      <c r="K363" s="1153">
        <f>K364</f>
        <v>931000</v>
      </c>
      <c r="L363" s="1153"/>
      <c r="M363" s="1145">
        <f>T363</f>
        <v>0</v>
      </c>
      <c r="N363" s="1153">
        <f>T363</f>
        <v>0</v>
      </c>
      <c r="O363" s="1181"/>
      <c r="P363" s="1181"/>
      <c r="Q363" s="1181"/>
      <c r="R363" s="1181"/>
      <c r="S363" s="1181"/>
      <c r="T363" s="1153">
        <f>T365</f>
        <v>0</v>
      </c>
      <c r="U363" s="1153">
        <f>U365</f>
        <v>0</v>
      </c>
      <c r="V363" s="1145">
        <f t="shared" si="95"/>
        <v>931000</v>
      </c>
    </row>
    <row r="364" spans="1:24" s="1166" customFormat="1" ht="49.2" customHeight="1" x14ac:dyDescent="0.25">
      <c r="A364" s="1256"/>
      <c r="B364" s="1168"/>
      <c r="C364" s="1168"/>
      <c r="D364" s="1257" t="s">
        <v>1321</v>
      </c>
      <c r="E364" s="1161">
        <f>F364+L364</f>
        <v>931000</v>
      </c>
      <c r="F364" s="1163">
        <f t="shared" si="97"/>
        <v>931000</v>
      </c>
      <c r="G364" s="1164"/>
      <c r="H364" s="1164"/>
      <c r="I364" s="1164"/>
      <c r="J364" s="1164"/>
      <c r="K364" s="1163">
        <v>931000</v>
      </c>
      <c r="L364" s="1163"/>
      <c r="M364" s="1161"/>
      <c r="N364" s="1163"/>
      <c r="O364" s="1164"/>
      <c r="P364" s="1164"/>
      <c r="Q364" s="1164"/>
      <c r="R364" s="1164"/>
      <c r="S364" s="1164"/>
      <c r="T364" s="1163"/>
      <c r="U364" s="1165"/>
      <c r="V364" s="1161">
        <f t="shared" si="95"/>
        <v>931000</v>
      </c>
    </row>
    <row r="365" spans="1:24" s="1166" customFormat="1" ht="30" hidden="1" customHeight="1" x14ac:dyDescent="0.25">
      <c r="A365" s="1256"/>
      <c r="B365" s="1168"/>
      <c r="C365" s="1168"/>
      <c r="D365" s="1257" t="s">
        <v>1322</v>
      </c>
      <c r="E365" s="1161">
        <f>F365+L365</f>
        <v>0</v>
      </c>
      <c r="F365" s="1163">
        <f>SUM(G365:K365)</f>
        <v>0</v>
      </c>
      <c r="G365" s="1164"/>
      <c r="H365" s="1164"/>
      <c r="I365" s="1164"/>
      <c r="J365" s="1164"/>
      <c r="K365" s="1163"/>
      <c r="L365" s="1163"/>
      <c r="M365" s="1161">
        <f>T365</f>
        <v>0</v>
      </c>
      <c r="N365" s="1163">
        <f>T365</f>
        <v>0</v>
      </c>
      <c r="O365" s="1164"/>
      <c r="P365" s="1164"/>
      <c r="Q365" s="1164"/>
      <c r="R365" s="1164"/>
      <c r="S365" s="1164"/>
      <c r="T365" s="1163"/>
      <c r="U365" s="1165"/>
      <c r="V365" s="1161">
        <f t="shared" si="95"/>
        <v>0</v>
      </c>
    </row>
    <row r="366" spans="1:24" ht="36" customHeight="1" x14ac:dyDescent="0.25">
      <c r="A366" s="1155">
        <v>1614084</v>
      </c>
      <c r="B366" s="1151" t="s">
        <v>1323</v>
      </c>
      <c r="C366" s="1151" t="s">
        <v>994</v>
      </c>
      <c r="D366" s="1200" t="s">
        <v>1324</v>
      </c>
      <c r="E366" s="1145">
        <f>F366</f>
        <v>630000</v>
      </c>
      <c r="F366" s="1153">
        <f t="shared" si="97"/>
        <v>630000</v>
      </c>
      <c r="G366" s="1181"/>
      <c r="H366" s="1181"/>
      <c r="I366" s="1181"/>
      <c r="J366" s="1181"/>
      <c r="K366" s="1153">
        <f>130000+500000</f>
        <v>630000</v>
      </c>
      <c r="L366" s="1181"/>
      <c r="M366" s="1145">
        <f t="shared" ref="M366:M378" si="98">O366+T366</f>
        <v>0</v>
      </c>
      <c r="N366" s="1153">
        <f t="shared" ref="N366:N371" si="99">T366</f>
        <v>0</v>
      </c>
      <c r="O366" s="1181"/>
      <c r="P366" s="1181"/>
      <c r="Q366" s="1181"/>
      <c r="R366" s="1181"/>
      <c r="S366" s="1181"/>
      <c r="T366" s="1153"/>
      <c r="U366" s="1154"/>
      <c r="V366" s="1145">
        <f t="shared" si="95"/>
        <v>630000</v>
      </c>
    </row>
    <row r="367" spans="1:24" ht="36.6" hidden="1" customHeight="1" x14ac:dyDescent="0.25">
      <c r="A367" s="1155">
        <v>1615031</v>
      </c>
      <c r="B367" s="1151" t="s">
        <v>1325</v>
      </c>
      <c r="C367" s="1183" t="s">
        <v>1000</v>
      </c>
      <c r="D367" s="1188" t="s">
        <v>1007</v>
      </c>
      <c r="E367" s="1161">
        <f>F367</f>
        <v>0</v>
      </c>
      <c r="F367" s="1163">
        <f t="shared" si="97"/>
        <v>0</v>
      </c>
      <c r="G367" s="1181"/>
      <c r="H367" s="1181"/>
      <c r="I367" s="1181"/>
      <c r="J367" s="1181"/>
      <c r="K367" s="1153"/>
      <c r="L367" s="1181"/>
      <c r="M367" s="1145">
        <f t="shared" si="98"/>
        <v>0</v>
      </c>
      <c r="N367" s="1153">
        <f t="shared" si="99"/>
        <v>0</v>
      </c>
      <c r="O367" s="1181"/>
      <c r="P367" s="1181"/>
      <c r="Q367" s="1181"/>
      <c r="R367" s="1181"/>
      <c r="S367" s="1181"/>
      <c r="T367" s="1153"/>
      <c r="U367" s="1154"/>
      <c r="V367" s="1161">
        <f t="shared" si="95"/>
        <v>0</v>
      </c>
    </row>
    <row r="368" spans="1:24" ht="27.6" hidden="1" customHeight="1" x14ac:dyDescent="0.25">
      <c r="A368" s="1150" t="s">
        <v>1326</v>
      </c>
      <c r="B368" s="1151" t="s">
        <v>411</v>
      </c>
      <c r="C368" s="1151" t="s">
        <v>1023</v>
      </c>
      <c r="D368" s="1200" t="s">
        <v>1260</v>
      </c>
      <c r="E368" s="1161">
        <f t="shared" ref="E368:E380" si="100">F368</f>
        <v>0</v>
      </c>
      <c r="F368" s="1163">
        <f t="shared" si="97"/>
        <v>0</v>
      </c>
      <c r="G368" s="1181"/>
      <c r="H368" s="1181"/>
      <c r="I368" s="1181"/>
      <c r="J368" s="1181"/>
      <c r="K368" s="1153"/>
      <c r="L368" s="1181"/>
      <c r="M368" s="1145">
        <f t="shared" si="98"/>
        <v>0</v>
      </c>
      <c r="N368" s="1153">
        <f t="shared" si="99"/>
        <v>0</v>
      </c>
      <c r="O368" s="1181"/>
      <c r="P368" s="1181"/>
      <c r="Q368" s="1181"/>
      <c r="R368" s="1181"/>
      <c r="S368" s="1181"/>
      <c r="T368" s="1153"/>
      <c r="U368" s="1154"/>
      <c r="V368" s="1145">
        <f t="shared" si="95"/>
        <v>0</v>
      </c>
    </row>
    <row r="369" spans="1:24" ht="16.2" hidden="1" customHeight="1" x14ac:dyDescent="0.25">
      <c r="A369" s="1150" t="s">
        <v>1327</v>
      </c>
      <c r="B369" s="1151" t="s">
        <v>426</v>
      </c>
      <c r="C369" s="1151" t="s">
        <v>1023</v>
      </c>
      <c r="D369" s="1200" t="s">
        <v>425</v>
      </c>
      <c r="E369" s="1161">
        <f t="shared" si="100"/>
        <v>0</v>
      </c>
      <c r="F369" s="1163">
        <f t="shared" si="97"/>
        <v>0</v>
      </c>
      <c r="G369" s="1181"/>
      <c r="H369" s="1181"/>
      <c r="I369" s="1181"/>
      <c r="J369" s="1181"/>
      <c r="K369" s="1153"/>
      <c r="L369" s="1181"/>
      <c r="M369" s="1145">
        <f t="shared" si="98"/>
        <v>0</v>
      </c>
      <c r="N369" s="1153">
        <f t="shared" si="99"/>
        <v>0</v>
      </c>
      <c r="O369" s="1181"/>
      <c r="P369" s="1181"/>
      <c r="Q369" s="1181"/>
      <c r="R369" s="1181"/>
      <c r="S369" s="1181"/>
      <c r="T369" s="1153"/>
      <c r="U369" s="1154"/>
      <c r="V369" s="1145">
        <f t="shared" si="95"/>
        <v>0</v>
      </c>
    </row>
    <row r="370" spans="1:24" ht="27.6" hidden="1" customHeight="1" x14ac:dyDescent="0.25">
      <c r="A370" s="1150" t="s">
        <v>1326</v>
      </c>
      <c r="B370" s="1151" t="s">
        <v>411</v>
      </c>
      <c r="C370" s="1151" t="s">
        <v>1023</v>
      </c>
      <c r="D370" s="1200" t="s">
        <v>1260</v>
      </c>
      <c r="E370" s="1161">
        <f t="shared" si="100"/>
        <v>0</v>
      </c>
      <c r="F370" s="1163">
        <f t="shared" si="97"/>
        <v>0</v>
      </c>
      <c r="G370" s="1181"/>
      <c r="H370" s="1181"/>
      <c r="I370" s="1181"/>
      <c r="J370" s="1181"/>
      <c r="K370" s="1153"/>
      <c r="L370" s="1181"/>
      <c r="M370" s="1145">
        <f t="shared" si="98"/>
        <v>0</v>
      </c>
      <c r="N370" s="1153">
        <f t="shared" si="99"/>
        <v>0</v>
      </c>
      <c r="O370" s="1181"/>
      <c r="P370" s="1181"/>
      <c r="Q370" s="1181"/>
      <c r="R370" s="1181"/>
      <c r="S370" s="1181"/>
      <c r="T370" s="1153"/>
      <c r="U370" s="1154"/>
      <c r="V370" s="1145">
        <f t="shared" si="95"/>
        <v>0</v>
      </c>
    </row>
    <row r="371" spans="1:24" ht="34.200000000000003" hidden="1" customHeight="1" x14ac:dyDescent="0.25">
      <c r="A371" s="1155">
        <v>1617370</v>
      </c>
      <c r="B371" s="1151" t="s">
        <v>419</v>
      </c>
      <c r="C371" s="1151" t="s">
        <v>1038</v>
      </c>
      <c r="D371" s="1170" t="s">
        <v>418</v>
      </c>
      <c r="E371" s="1161">
        <f t="shared" si="100"/>
        <v>0</v>
      </c>
      <c r="F371" s="1163">
        <f t="shared" si="97"/>
        <v>0</v>
      </c>
      <c r="G371" s="1181"/>
      <c r="H371" s="1181"/>
      <c r="I371" s="1181"/>
      <c r="J371" s="1181"/>
      <c r="K371" s="1153"/>
      <c r="L371" s="1181"/>
      <c r="M371" s="1145">
        <f t="shared" si="98"/>
        <v>0</v>
      </c>
      <c r="N371" s="1153">
        <f t="shared" si="99"/>
        <v>0</v>
      </c>
      <c r="O371" s="1181"/>
      <c r="P371" s="1181"/>
      <c r="Q371" s="1181"/>
      <c r="R371" s="1181"/>
      <c r="S371" s="1181"/>
      <c r="T371" s="1153"/>
      <c r="U371" s="1154"/>
      <c r="V371" s="1145">
        <f t="shared" si="95"/>
        <v>0</v>
      </c>
    </row>
    <row r="372" spans="1:24" ht="16.2" hidden="1" customHeight="1" x14ac:dyDescent="0.25">
      <c r="A372" s="1155">
        <v>1617321</v>
      </c>
      <c r="B372" s="1151" t="s">
        <v>426</v>
      </c>
      <c r="C372" s="1151" t="s">
        <v>1023</v>
      </c>
      <c r="D372" s="1170" t="s">
        <v>425</v>
      </c>
      <c r="E372" s="1161">
        <f t="shared" si="100"/>
        <v>0</v>
      </c>
      <c r="F372" s="1163">
        <f t="shared" si="97"/>
        <v>0</v>
      </c>
      <c r="G372" s="1181"/>
      <c r="H372" s="1181"/>
      <c r="I372" s="1181"/>
      <c r="J372" s="1181"/>
      <c r="K372" s="1153"/>
      <c r="L372" s="1181"/>
      <c r="M372" s="1145">
        <f t="shared" si="98"/>
        <v>0</v>
      </c>
      <c r="N372" s="1153">
        <f>T372</f>
        <v>0</v>
      </c>
      <c r="O372" s="1181"/>
      <c r="P372" s="1181"/>
      <c r="Q372" s="1181"/>
      <c r="R372" s="1181"/>
      <c r="S372" s="1181"/>
      <c r="T372" s="1153"/>
      <c r="U372" s="1154"/>
      <c r="V372" s="1145">
        <f t="shared" si="95"/>
        <v>0</v>
      </c>
    </row>
    <row r="373" spans="1:24" ht="16.2" hidden="1" customHeight="1" x14ac:dyDescent="0.25">
      <c r="A373" s="1155">
        <v>1617324</v>
      </c>
      <c r="B373" s="1151" t="s">
        <v>1328</v>
      </c>
      <c r="C373" s="1151" t="s">
        <v>1023</v>
      </c>
      <c r="D373" s="1170" t="s">
        <v>1033</v>
      </c>
      <c r="E373" s="1161">
        <f t="shared" si="100"/>
        <v>0</v>
      </c>
      <c r="F373" s="1163">
        <f t="shared" si="97"/>
        <v>0</v>
      </c>
      <c r="G373" s="1181"/>
      <c r="H373" s="1181"/>
      <c r="I373" s="1181"/>
      <c r="J373" s="1181"/>
      <c r="K373" s="1153"/>
      <c r="L373" s="1181"/>
      <c r="M373" s="1145">
        <f t="shared" si="98"/>
        <v>0</v>
      </c>
      <c r="N373" s="1153">
        <f>T373</f>
        <v>0</v>
      </c>
      <c r="O373" s="1181"/>
      <c r="P373" s="1181"/>
      <c r="Q373" s="1181"/>
      <c r="R373" s="1181"/>
      <c r="S373" s="1181"/>
      <c r="T373" s="1153"/>
      <c r="U373" s="1154"/>
      <c r="V373" s="1145">
        <f t="shared" si="95"/>
        <v>0</v>
      </c>
    </row>
    <row r="374" spans="1:24" ht="27.6" hidden="1" x14ac:dyDescent="0.25">
      <c r="A374" s="1155">
        <v>1617325</v>
      </c>
      <c r="B374" s="1151" t="s">
        <v>1329</v>
      </c>
      <c r="C374" s="1151" t="s">
        <v>1023</v>
      </c>
      <c r="D374" s="1170" t="s">
        <v>1035</v>
      </c>
      <c r="E374" s="1161">
        <f t="shared" si="100"/>
        <v>0</v>
      </c>
      <c r="F374" s="1163">
        <f t="shared" si="97"/>
        <v>0</v>
      </c>
      <c r="G374" s="1181"/>
      <c r="H374" s="1181"/>
      <c r="I374" s="1181"/>
      <c r="J374" s="1181"/>
      <c r="K374" s="1153"/>
      <c r="L374" s="1181"/>
      <c r="M374" s="1145">
        <f t="shared" si="98"/>
        <v>0</v>
      </c>
      <c r="N374" s="1153">
        <f>T374</f>
        <v>0</v>
      </c>
      <c r="O374" s="1181"/>
      <c r="P374" s="1181"/>
      <c r="Q374" s="1181"/>
      <c r="R374" s="1181"/>
      <c r="S374" s="1181"/>
      <c r="T374" s="1153"/>
      <c r="U374" s="1154"/>
      <c r="V374" s="1145">
        <f t="shared" si="95"/>
        <v>0</v>
      </c>
    </row>
    <row r="375" spans="1:24" ht="30" hidden="1" customHeight="1" x14ac:dyDescent="0.25">
      <c r="A375" s="1155">
        <v>1617350</v>
      </c>
      <c r="B375" s="1151" t="s">
        <v>415</v>
      </c>
      <c r="C375" s="1151" t="s">
        <v>1330</v>
      </c>
      <c r="D375" s="1170" t="s">
        <v>414</v>
      </c>
      <c r="E375" s="1161">
        <f t="shared" si="100"/>
        <v>0</v>
      </c>
      <c r="F375" s="1163">
        <f t="shared" si="97"/>
        <v>0</v>
      </c>
      <c r="G375" s="1181"/>
      <c r="H375" s="1181"/>
      <c r="I375" s="1181"/>
      <c r="J375" s="1181"/>
      <c r="K375" s="1153"/>
      <c r="L375" s="1181"/>
      <c r="M375" s="1145">
        <f t="shared" si="98"/>
        <v>0</v>
      </c>
      <c r="N375" s="1153">
        <f>T375</f>
        <v>0</v>
      </c>
      <c r="O375" s="1181"/>
      <c r="P375" s="1181"/>
      <c r="Q375" s="1181"/>
      <c r="R375" s="1181"/>
      <c r="S375" s="1181"/>
      <c r="T375" s="1153"/>
      <c r="U375" s="1154"/>
      <c r="V375" s="1145">
        <f t="shared" si="95"/>
        <v>0</v>
      </c>
    </row>
    <row r="376" spans="1:24" ht="33.6" hidden="1" customHeight="1" x14ac:dyDescent="0.25">
      <c r="A376" s="1150" t="s">
        <v>1331</v>
      </c>
      <c r="B376" s="1151" t="s">
        <v>419</v>
      </c>
      <c r="C376" s="1151" t="s">
        <v>1038</v>
      </c>
      <c r="D376" s="1152" t="s">
        <v>418</v>
      </c>
      <c r="E376" s="1161">
        <f t="shared" si="100"/>
        <v>0</v>
      </c>
      <c r="F376" s="1163">
        <f t="shared" si="97"/>
        <v>0</v>
      </c>
      <c r="G376" s="1181">
        <f t="shared" ref="G376:S376" si="101">G378</f>
        <v>0</v>
      </c>
      <c r="H376" s="1181">
        <f t="shared" si="101"/>
        <v>0</v>
      </c>
      <c r="I376" s="1181">
        <f t="shared" si="101"/>
        <v>0</v>
      </c>
      <c r="J376" s="1181">
        <f t="shared" si="101"/>
        <v>0</v>
      </c>
      <c r="K376" s="1153">
        <f>K378</f>
        <v>0</v>
      </c>
      <c r="L376" s="1181">
        <f t="shared" si="101"/>
        <v>0</v>
      </c>
      <c r="M376" s="1145">
        <f t="shared" si="98"/>
        <v>0</v>
      </c>
      <c r="N376" s="1153">
        <f>T376</f>
        <v>0</v>
      </c>
      <c r="O376" s="1181">
        <f t="shared" si="101"/>
        <v>0</v>
      </c>
      <c r="P376" s="1181">
        <f t="shared" si="101"/>
        <v>0</v>
      </c>
      <c r="Q376" s="1181">
        <f t="shared" si="101"/>
        <v>0</v>
      </c>
      <c r="R376" s="1181">
        <f t="shared" si="101"/>
        <v>0</v>
      </c>
      <c r="S376" s="1181">
        <f t="shared" si="101"/>
        <v>0</v>
      </c>
      <c r="T376" s="1153"/>
      <c r="U376" s="1154"/>
      <c r="V376" s="1145">
        <f t="shared" si="95"/>
        <v>0</v>
      </c>
    </row>
    <row r="377" spans="1:24" s="1166" customFormat="1" ht="42" hidden="1" customHeight="1" x14ac:dyDescent="0.25">
      <c r="A377" s="1150"/>
      <c r="B377" s="1168"/>
      <c r="C377" s="1159"/>
      <c r="D377" s="1186" t="s">
        <v>1332</v>
      </c>
      <c r="E377" s="1161">
        <f t="shared" si="100"/>
        <v>0</v>
      </c>
      <c r="F377" s="1163">
        <f t="shared" si="97"/>
        <v>0</v>
      </c>
      <c r="G377" s="1164"/>
      <c r="H377" s="1164"/>
      <c r="I377" s="1164"/>
      <c r="J377" s="1164"/>
      <c r="K377" s="1163"/>
      <c r="L377" s="1164"/>
      <c r="M377" s="1145">
        <f t="shared" si="98"/>
        <v>0</v>
      </c>
      <c r="N377" s="1162"/>
      <c r="O377" s="1164"/>
      <c r="P377" s="1164"/>
      <c r="Q377" s="1164"/>
      <c r="R377" s="1164"/>
      <c r="S377" s="1164"/>
      <c r="T377" s="1162"/>
      <c r="U377" s="1165"/>
      <c r="V377" s="1145">
        <f t="shared" si="95"/>
        <v>0</v>
      </c>
    </row>
    <row r="378" spans="1:24" s="1166" customFormat="1" ht="27.6" hidden="1" x14ac:dyDescent="0.25">
      <c r="A378" s="1150"/>
      <c r="B378" s="1168"/>
      <c r="C378" s="1159"/>
      <c r="D378" s="1186" t="s">
        <v>1333</v>
      </c>
      <c r="E378" s="1161">
        <f t="shared" si="100"/>
        <v>0</v>
      </c>
      <c r="F378" s="1163">
        <f t="shared" si="97"/>
        <v>0</v>
      </c>
      <c r="G378" s="1164"/>
      <c r="H378" s="1164"/>
      <c r="I378" s="1164"/>
      <c r="J378" s="1164"/>
      <c r="K378" s="1163"/>
      <c r="L378" s="1164"/>
      <c r="M378" s="1161">
        <f t="shared" si="98"/>
        <v>0</v>
      </c>
      <c r="N378" s="1162">
        <f>T378</f>
        <v>0</v>
      </c>
      <c r="O378" s="1164"/>
      <c r="P378" s="1164"/>
      <c r="Q378" s="1164"/>
      <c r="R378" s="1164"/>
      <c r="S378" s="1164"/>
      <c r="T378" s="1162">
        <f>T376</f>
        <v>0</v>
      </c>
      <c r="U378" s="1165"/>
      <c r="V378" s="1161">
        <f t="shared" si="95"/>
        <v>0</v>
      </c>
    </row>
    <row r="379" spans="1:24" s="1166" customFormat="1" ht="27.6" hidden="1" x14ac:dyDescent="0.25">
      <c r="A379" s="1150" t="s">
        <v>1334</v>
      </c>
      <c r="B379" s="1168"/>
      <c r="C379" s="1159"/>
      <c r="D379" s="1242" t="s">
        <v>1274</v>
      </c>
      <c r="E379" s="1161">
        <f t="shared" si="100"/>
        <v>0</v>
      </c>
      <c r="F379" s="1163">
        <f t="shared" si="97"/>
        <v>0</v>
      </c>
      <c r="G379" s="1164"/>
      <c r="H379" s="1164"/>
      <c r="I379" s="1164"/>
      <c r="J379" s="1164"/>
      <c r="K379" s="1163"/>
      <c r="L379" s="1164"/>
      <c r="M379" s="1145">
        <f>M380</f>
        <v>0</v>
      </c>
      <c r="N379" s="1172">
        <f>N380</f>
        <v>0</v>
      </c>
      <c r="O379" s="1164"/>
      <c r="P379" s="1164"/>
      <c r="Q379" s="1164"/>
      <c r="R379" s="1164"/>
      <c r="S379" s="1164"/>
      <c r="T379" s="1172">
        <f>T380</f>
        <v>0</v>
      </c>
      <c r="U379" s="1180">
        <f>U380</f>
        <v>0</v>
      </c>
      <c r="V379" s="1145">
        <f t="shared" si="95"/>
        <v>0</v>
      </c>
    </row>
    <row r="380" spans="1:24" ht="51.6" hidden="1" customHeight="1" x14ac:dyDescent="0.25">
      <c r="A380" s="1150" t="s">
        <v>1335</v>
      </c>
      <c r="B380" s="1151" t="s">
        <v>442</v>
      </c>
      <c r="C380" s="1151" t="s">
        <v>1272</v>
      </c>
      <c r="D380" s="1242" t="s">
        <v>441</v>
      </c>
      <c r="E380" s="1145">
        <f t="shared" si="100"/>
        <v>0</v>
      </c>
      <c r="F380" s="1153">
        <f t="shared" si="97"/>
        <v>0</v>
      </c>
      <c r="G380" s="1181"/>
      <c r="H380" s="1181"/>
      <c r="I380" s="1181"/>
      <c r="J380" s="1181"/>
      <c r="K380" s="1153"/>
      <c r="L380" s="1181"/>
      <c r="M380" s="1145">
        <f t="shared" ref="M380:M386" si="102">O380+T380</f>
        <v>0</v>
      </c>
      <c r="N380" s="1172">
        <f>T380</f>
        <v>0</v>
      </c>
      <c r="O380" s="1181"/>
      <c r="P380" s="1181"/>
      <c r="Q380" s="1181"/>
      <c r="R380" s="1181"/>
      <c r="S380" s="1181"/>
      <c r="T380" s="1172"/>
      <c r="U380" s="1154"/>
      <c r="V380" s="1145">
        <f>E380+M380</f>
        <v>0</v>
      </c>
      <c r="X380" s="1258"/>
    </row>
    <row r="381" spans="1:24" ht="37.200000000000003" hidden="1" customHeight="1" x14ac:dyDescent="0.25">
      <c r="A381" s="1150" t="s">
        <v>1336</v>
      </c>
      <c r="B381" s="1151" t="s">
        <v>456</v>
      </c>
      <c r="C381" s="1151" t="s">
        <v>1038</v>
      </c>
      <c r="D381" s="1242" t="s">
        <v>455</v>
      </c>
      <c r="E381" s="1145"/>
      <c r="F381" s="1153"/>
      <c r="G381" s="1181"/>
      <c r="H381" s="1181"/>
      <c r="I381" s="1181"/>
      <c r="J381" s="1181"/>
      <c r="K381" s="1153"/>
      <c r="L381" s="1181"/>
      <c r="M381" s="1145">
        <f t="shared" si="102"/>
        <v>0</v>
      </c>
      <c r="N381" s="1172">
        <f>T381</f>
        <v>0</v>
      </c>
      <c r="O381" s="1181"/>
      <c r="P381" s="1181"/>
      <c r="Q381" s="1181"/>
      <c r="R381" s="1181"/>
      <c r="S381" s="1181"/>
      <c r="T381" s="1172"/>
      <c r="U381" s="1154"/>
      <c r="V381" s="1145">
        <f t="shared" ref="V381:V386" si="103">E381+M381</f>
        <v>0</v>
      </c>
    </row>
    <row r="382" spans="1:24" ht="61.2" hidden="1" customHeight="1" x14ac:dyDescent="0.25">
      <c r="A382" s="1150" t="s">
        <v>1337</v>
      </c>
      <c r="B382" s="1151" t="s">
        <v>456</v>
      </c>
      <c r="C382" s="1151" t="s">
        <v>1038</v>
      </c>
      <c r="D382" s="1242" t="s">
        <v>457</v>
      </c>
      <c r="E382" s="1145"/>
      <c r="F382" s="1153"/>
      <c r="G382" s="1181"/>
      <c r="H382" s="1181"/>
      <c r="I382" s="1181"/>
      <c r="J382" s="1181"/>
      <c r="K382" s="1153"/>
      <c r="L382" s="1181"/>
      <c r="M382" s="1145">
        <f>O382+T382</f>
        <v>0</v>
      </c>
      <c r="N382" s="1172">
        <f>T382</f>
        <v>0</v>
      </c>
      <c r="O382" s="1181"/>
      <c r="P382" s="1181"/>
      <c r="Q382" s="1181"/>
      <c r="R382" s="1181"/>
      <c r="S382" s="1181"/>
      <c r="T382" s="1172"/>
      <c r="U382" s="1154"/>
      <c r="V382" s="1145">
        <f t="shared" si="103"/>
        <v>0</v>
      </c>
    </row>
    <row r="383" spans="1:24" ht="15.6" hidden="1" x14ac:dyDescent="0.25">
      <c r="A383" s="1150" t="s">
        <v>1338</v>
      </c>
      <c r="B383" s="1151" t="s">
        <v>478</v>
      </c>
      <c r="C383" s="1151" t="s">
        <v>1288</v>
      </c>
      <c r="D383" s="1152" t="s">
        <v>477</v>
      </c>
      <c r="E383" s="1145">
        <f>F383+L383</f>
        <v>0</v>
      </c>
      <c r="F383" s="1153"/>
      <c r="G383" s="1153"/>
      <c r="H383" s="1153"/>
      <c r="I383" s="1153"/>
      <c r="J383" s="1153"/>
      <c r="K383" s="1153"/>
      <c r="L383" s="1153"/>
      <c r="M383" s="1145">
        <f>O383+T383</f>
        <v>0</v>
      </c>
      <c r="N383" s="1153">
        <f>T383</f>
        <v>0</v>
      </c>
      <c r="O383" s="1153"/>
      <c r="P383" s="1153"/>
      <c r="Q383" s="1181"/>
      <c r="R383" s="1181"/>
      <c r="S383" s="1181"/>
      <c r="T383" s="1153"/>
      <c r="U383" s="1154"/>
      <c r="V383" s="1145">
        <f>M383+E383</f>
        <v>0</v>
      </c>
    </row>
    <row r="384" spans="1:24" ht="27.6" hidden="1" x14ac:dyDescent="0.25">
      <c r="A384" s="1150" t="s">
        <v>1339</v>
      </c>
      <c r="B384" s="1151" t="s">
        <v>1340</v>
      </c>
      <c r="C384" s="1151" t="s">
        <v>1341</v>
      </c>
      <c r="D384" s="1242" t="s">
        <v>545</v>
      </c>
      <c r="E384" s="1145"/>
      <c r="F384" s="1153"/>
      <c r="G384" s="1181"/>
      <c r="H384" s="1181"/>
      <c r="I384" s="1181"/>
      <c r="J384" s="1181"/>
      <c r="K384" s="1153"/>
      <c r="L384" s="1181"/>
      <c r="M384" s="1145">
        <f t="shared" si="102"/>
        <v>0</v>
      </c>
      <c r="N384" s="1172"/>
      <c r="O384" s="1153"/>
      <c r="P384" s="1181"/>
      <c r="Q384" s="1181"/>
      <c r="R384" s="1181"/>
      <c r="S384" s="1181"/>
      <c r="T384" s="1172"/>
      <c r="U384" s="1154"/>
      <c r="V384" s="1145">
        <f t="shared" si="103"/>
        <v>0</v>
      </c>
    </row>
    <row r="385" spans="1:22" ht="15.6" hidden="1" x14ac:dyDescent="0.25">
      <c r="A385" s="1150" t="s">
        <v>1342</v>
      </c>
      <c r="B385" s="1151" t="s">
        <v>484</v>
      </c>
      <c r="C385" s="1151" t="s">
        <v>1290</v>
      </c>
      <c r="D385" s="1242" t="s">
        <v>483</v>
      </c>
      <c r="E385" s="1145"/>
      <c r="F385" s="1153"/>
      <c r="G385" s="1181"/>
      <c r="H385" s="1181"/>
      <c r="I385" s="1181"/>
      <c r="J385" s="1181"/>
      <c r="K385" s="1153"/>
      <c r="L385" s="1181"/>
      <c r="M385" s="1145">
        <f t="shared" si="102"/>
        <v>0</v>
      </c>
      <c r="N385" s="1172">
        <f>T385</f>
        <v>0</v>
      </c>
      <c r="O385" s="1181"/>
      <c r="P385" s="1181"/>
      <c r="Q385" s="1181"/>
      <c r="R385" s="1181"/>
      <c r="S385" s="1181"/>
      <c r="T385" s="1172"/>
      <c r="U385" s="1154"/>
      <c r="V385" s="1145">
        <f t="shared" si="103"/>
        <v>0</v>
      </c>
    </row>
    <row r="386" spans="1:22" ht="30" hidden="1" customHeight="1" x14ac:dyDescent="0.25">
      <c r="A386" s="1150" t="s">
        <v>1343</v>
      </c>
      <c r="B386" s="1169">
        <v>9750</v>
      </c>
      <c r="C386" s="1151" t="s">
        <v>275</v>
      </c>
      <c r="D386" s="1176" t="s">
        <v>1344</v>
      </c>
      <c r="E386" s="1145"/>
      <c r="F386" s="1153"/>
      <c r="G386" s="1181"/>
      <c r="H386" s="1181"/>
      <c r="I386" s="1181"/>
      <c r="J386" s="1181"/>
      <c r="K386" s="1153"/>
      <c r="L386" s="1181"/>
      <c r="M386" s="1145">
        <f t="shared" si="102"/>
        <v>0</v>
      </c>
      <c r="N386" s="1172">
        <f>T386</f>
        <v>0</v>
      </c>
      <c r="O386" s="1181"/>
      <c r="P386" s="1181"/>
      <c r="Q386" s="1181"/>
      <c r="R386" s="1181"/>
      <c r="S386" s="1181"/>
      <c r="T386" s="1172"/>
      <c r="U386" s="1154"/>
      <c r="V386" s="1145">
        <f t="shared" si="103"/>
        <v>0</v>
      </c>
    </row>
    <row r="387" spans="1:22" s="1147" customFormat="1" ht="27.6" x14ac:dyDescent="0.25">
      <c r="A387" s="1142" t="s">
        <v>1345</v>
      </c>
      <c r="B387" s="1143"/>
      <c r="C387" s="1142"/>
      <c r="D387" s="1144" t="s">
        <v>1346</v>
      </c>
      <c r="E387" s="1145">
        <f t="shared" ref="E387:T390" si="104">E388</f>
        <v>8191761</v>
      </c>
      <c r="F387" s="1145">
        <f t="shared" si="104"/>
        <v>8191761</v>
      </c>
      <c r="G387" s="1145">
        <f t="shared" si="104"/>
        <v>6602638</v>
      </c>
      <c r="H387" s="1145">
        <f t="shared" si="104"/>
        <v>0</v>
      </c>
      <c r="I387" s="1145">
        <f t="shared" si="104"/>
        <v>0</v>
      </c>
      <c r="J387" s="1145">
        <f t="shared" si="104"/>
        <v>0</v>
      </c>
      <c r="K387" s="1145">
        <f t="shared" si="104"/>
        <v>1589123</v>
      </c>
      <c r="L387" s="1145">
        <f t="shared" si="104"/>
        <v>0</v>
      </c>
      <c r="M387" s="1145">
        <f t="shared" si="104"/>
        <v>0</v>
      </c>
      <c r="N387" s="1145">
        <f t="shared" si="104"/>
        <v>0</v>
      </c>
      <c r="O387" s="1145">
        <f t="shared" si="104"/>
        <v>0</v>
      </c>
      <c r="P387" s="1145">
        <f t="shared" si="104"/>
        <v>0</v>
      </c>
      <c r="Q387" s="1145">
        <f t="shared" si="104"/>
        <v>0</v>
      </c>
      <c r="R387" s="1145">
        <f t="shared" si="104"/>
        <v>0</v>
      </c>
      <c r="S387" s="1145">
        <f t="shared" si="104"/>
        <v>0</v>
      </c>
      <c r="T387" s="1145">
        <f t="shared" si="104"/>
        <v>0</v>
      </c>
      <c r="U387" s="1146">
        <f t="shared" ref="N387:U390" si="105">U388</f>
        <v>0</v>
      </c>
      <c r="V387" s="1145">
        <f t="shared" ref="V387:V402" si="106">M387+E387</f>
        <v>8191761</v>
      </c>
    </row>
    <row r="388" spans="1:22" s="1147" customFormat="1" ht="27.6" x14ac:dyDescent="0.25">
      <c r="A388" s="1142" t="s">
        <v>1347</v>
      </c>
      <c r="B388" s="1143"/>
      <c r="C388" s="1142"/>
      <c r="D388" s="1144" t="s">
        <v>1346</v>
      </c>
      <c r="E388" s="1145">
        <f t="shared" si="104"/>
        <v>8191761</v>
      </c>
      <c r="F388" s="1145">
        <f t="shared" si="104"/>
        <v>8191761</v>
      </c>
      <c r="G388" s="1145">
        <f t="shared" si="104"/>
        <v>6602638</v>
      </c>
      <c r="H388" s="1145">
        <f t="shared" si="104"/>
        <v>0</v>
      </c>
      <c r="I388" s="1145">
        <f t="shared" si="104"/>
        <v>0</v>
      </c>
      <c r="J388" s="1145">
        <f t="shared" si="104"/>
        <v>0</v>
      </c>
      <c r="K388" s="1145">
        <f t="shared" si="104"/>
        <v>1589123</v>
      </c>
      <c r="L388" s="1145">
        <f t="shared" si="104"/>
        <v>0</v>
      </c>
      <c r="M388" s="1145">
        <f t="shared" si="104"/>
        <v>0</v>
      </c>
      <c r="N388" s="1145">
        <f t="shared" si="105"/>
        <v>0</v>
      </c>
      <c r="O388" s="1145">
        <f t="shared" si="104"/>
        <v>0</v>
      </c>
      <c r="P388" s="1145">
        <f t="shared" si="105"/>
        <v>0</v>
      </c>
      <c r="Q388" s="1145">
        <f t="shared" si="105"/>
        <v>0</v>
      </c>
      <c r="R388" s="1145">
        <f t="shared" si="105"/>
        <v>0</v>
      </c>
      <c r="S388" s="1145">
        <f t="shared" si="105"/>
        <v>0</v>
      </c>
      <c r="T388" s="1145">
        <f t="shared" si="105"/>
        <v>0</v>
      </c>
      <c r="U388" s="1146">
        <f t="shared" si="105"/>
        <v>0</v>
      </c>
      <c r="V388" s="1145">
        <f t="shared" si="106"/>
        <v>8191761</v>
      </c>
    </row>
    <row r="389" spans="1:22" ht="39" customHeight="1" x14ac:dyDescent="0.25">
      <c r="A389" s="1150" t="s">
        <v>1348</v>
      </c>
      <c r="B389" s="1151" t="s">
        <v>273</v>
      </c>
      <c r="C389" s="1151" t="s">
        <v>885</v>
      </c>
      <c r="D389" s="1152" t="s">
        <v>886</v>
      </c>
      <c r="E389" s="1145">
        <f>F389</f>
        <v>8191761</v>
      </c>
      <c r="F389" s="1153">
        <f>SUM(G389:K389)</f>
        <v>8191761</v>
      </c>
      <c r="G389" s="1153">
        <v>6602638</v>
      </c>
      <c r="H389" s="1153"/>
      <c r="I389" s="1153"/>
      <c r="J389" s="1153"/>
      <c r="K389" s="1153">
        <f>8126141-6602638+65620</f>
        <v>1589123</v>
      </c>
      <c r="L389" s="1181"/>
      <c r="M389" s="1145">
        <f>O389+T389</f>
        <v>0</v>
      </c>
      <c r="N389" s="1153">
        <f>T389</f>
        <v>0</v>
      </c>
      <c r="O389" s="1181"/>
      <c r="P389" s="1181"/>
      <c r="Q389" s="1181"/>
      <c r="R389" s="1181"/>
      <c r="S389" s="1181"/>
      <c r="T389" s="1153"/>
      <c r="U389" s="1154"/>
      <c r="V389" s="1145">
        <f t="shared" si="106"/>
        <v>8191761</v>
      </c>
    </row>
    <row r="390" spans="1:22" s="1147" customFormat="1" ht="33.6" customHeight="1" x14ac:dyDescent="0.25">
      <c r="A390" s="1142" t="s">
        <v>1349</v>
      </c>
      <c r="B390" s="1143"/>
      <c r="C390" s="1142"/>
      <c r="D390" s="1144" t="s">
        <v>1350</v>
      </c>
      <c r="E390" s="1145">
        <f t="shared" si="104"/>
        <v>480802568</v>
      </c>
      <c r="F390" s="1145">
        <f t="shared" si="104"/>
        <v>267657506</v>
      </c>
      <c r="G390" s="1145">
        <f t="shared" si="104"/>
        <v>10499693</v>
      </c>
      <c r="H390" s="1145">
        <f t="shared" si="104"/>
        <v>0</v>
      </c>
      <c r="I390" s="1145">
        <f t="shared" si="104"/>
        <v>0</v>
      </c>
      <c r="J390" s="1145">
        <f t="shared" si="104"/>
        <v>29479403</v>
      </c>
      <c r="K390" s="1145">
        <f t="shared" si="104"/>
        <v>227678410</v>
      </c>
      <c r="L390" s="1145">
        <f t="shared" si="104"/>
        <v>213145062</v>
      </c>
      <c r="M390" s="1145">
        <f t="shared" si="104"/>
        <v>26480000</v>
      </c>
      <c r="N390" s="1145">
        <f t="shared" si="105"/>
        <v>0</v>
      </c>
      <c r="O390" s="1145">
        <f t="shared" si="104"/>
        <v>23110000</v>
      </c>
      <c r="P390" s="1145">
        <f t="shared" si="105"/>
        <v>0</v>
      </c>
      <c r="Q390" s="1145">
        <f t="shared" si="105"/>
        <v>0</v>
      </c>
      <c r="R390" s="1145">
        <f t="shared" si="105"/>
        <v>0</v>
      </c>
      <c r="S390" s="1145">
        <f t="shared" si="105"/>
        <v>0</v>
      </c>
      <c r="T390" s="1145">
        <f t="shared" si="105"/>
        <v>3370000</v>
      </c>
      <c r="U390" s="1146">
        <f t="shared" si="105"/>
        <v>0</v>
      </c>
      <c r="V390" s="1145">
        <f t="shared" si="106"/>
        <v>507282568</v>
      </c>
    </row>
    <row r="391" spans="1:22" s="1147" customFormat="1" ht="33" customHeight="1" x14ac:dyDescent="0.25">
      <c r="A391" s="1142" t="s">
        <v>1351</v>
      </c>
      <c r="B391" s="1143"/>
      <c r="C391" s="1142"/>
      <c r="D391" s="1144" t="s">
        <v>1350</v>
      </c>
      <c r="E391" s="1145">
        <f>E392+E393+E401+E396+E398+E394+E397</f>
        <v>480802568</v>
      </c>
      <c r="F391" s="1145">
        <f>F392+F393+F401+F396+F398+F394+F397</f>
        <v>267657506</v>
      </c>
      <c r="G391" s="1145">
        <f t="shared" ref="G391:L391" si="107">G392+G393+G401+G396+G398+G394</f>
        <v>10499693</v>
      </c>
      <c r="H391" s="1145">
        <f t="shared" si="107"/>
        <v>0</v>
      </c>
      <c r="I391" s="1145">
        <f t="shared" si="107"/>
        <v>0</v>
      </c>
      <c r="J391" s="1145">
        <f t="shared" si="107"/>
        <v>29479403</v>
      </c>
      <c r="K391" s="1145">
        <f>K392+K393+K401+K396+K398+K394+K397</f>
        <v>227678410</v>
      </c>
      <c r="L391" s="1145">
        <f t="shared" si="107"/>
        <v>213145062</v>
      </c>
      <c r="M391" s="1145">
        <f>M392+M393+M396+M398+M401+M402+M399+M400+M395+M394+M397</f>
        <v>26480000</v>
      </c>
      <c r="N391" s="1145">
        <f>N392+N393+N396+N398+N401+N402+N399+N400+N395+N394+N397</f>
        <v>0</v>
      </c>
      <c r="O391" s="1145">
        <f>O392+O393+O396+O398+O401+O402+O399+O400+O395+O394</f>
        <v>23110000</v>
      </c>
      <c r="P391" s="1145">
        <f>P392+P393+P396+P398+P401+P402+P399+P400+P395+P394</f>
        <v>0</v>
      </c>
      <c r="Q391" s="1145">
        <f>Q392+Q393+Q396+Q398+Q401+Q402+Q399+Q400+Q395+Q394</f>
        <v>0</v>
      </c>
      <c r="R391" s="1145">
        <f>R392+R393+R396+R398+R401+R402+R399+R400+R395+R394</f>
        <v>0</v>
      </c>
      <c r="S391" s="1145">
        <f>S392+S393+S396+S398+S401+S402+S399+S400+S395+S394</f>
        <v>0</v>
      </c>
      <c r="T391" s="1145">
        <f>T392+T393+T396+T398+T401+T402+T399+T400+T395+T394+T397</f>
        <v>3370000</v>
      </c>
      <c r="U391" s="1145">
        <f>U392+U393+U396+U398+U401+U402+U399+U400+U395+U394+U397</f>
        <v>0</v>
      </c>
      <c r="V391" s="1145">
        <f>M391+E391</f>
        <v>507282568</v>
      </c>
    </row>
    <row r="392" spans="1:22" ht="61.5" customHeight="1" x14ac:dyDescent="0.25">
      <c r="A392" s="1150" t="s">
        <v>1352</v>
      </c>
      <c r="B392" s="1151" t="s">
        <v>273</v>
      </c>
      <c r="C392" s="1151" t="s">
        <v>885</v>
      </c>
      <c r="D392" s="1152" t="s">
        <v>1353</v>
      </c>
      <c r="E392" s="1145">
        <f>F392</f>
        <v>13060921</v>
      </c>
      <c r="F392" s="1153">
        <f>SUM(G392:K392)</f>
        <v>13060921</v>
      </c>
      <c r="G392" s="1153">
        <v>10499693</v>
      </c>
      <c r="H392" s="1153"/>
      <c r="I392" s="1153"/>
      <c r="J392" s="1153"/>
      <c r="K392" s="1153">
        <f>13060921-10499693</f>
        <v>2561228</v>
      </c>
      <c r="L392" s="1181"/>
      <c r="M392" s="1145">
        <f>O392+T392</f>
        <v>0</v>
      </c>
      <c r="N392" s="1153">
        <f>T392</f>
        <v>0</v>
      </c>
      <c r="O392" s="1181"/>
      <c r="P392" s="1181"/>
      <c r="Q392" s="1181"/>
      <c r="R392" s="1181"/>
      <c r="S392" s="1181"/>
      <c r="T392" s="1153"/>
      <c r="U392" s="1154"/>
      <c r="V392" s="1145">
        <f t="shared" si="106"/>
        <v>13060921</v>
      </c>
    </row>
    <row r="393" spans="1:22" ht="15.6" x14ac:dyDescent="0.25">
      <c r="A393" s="1150" t="s">
        <v>1354</v>
      </c>
      <c r="B393" s="1151" t="s">
        <v>394</v>
      </c>
      <c r="C393" s="1151" t="s">
        <v>1241</v>
      </c>
      <c r="D393" s="1200" t="s">
        <v>393</v>
      </c>
      <c r="E393" s="1145">
        <f>F393+L393</f>
        <v>116404933</v>
      </c>
      <c r="F393" s="1172">
        <f>SUM(G393:K393)</f>
        <v>43545282</v>
      </c>
      <c r="G393" s="1172"/>
      <c r="H393" s="1172"/>
      <c r="I393" s="1172"/>
      <c r="J393" s="1171">
        <f>29479403</f>
        <v>29479403</v>
      </c>
      <c r="K393" s="1171">
        <f>13965879+100000</f>
        <v>14065879</v>
      </c>
      <c r="L393" s="1171">
        <f>69859651+3000000</f>
        <v>72859651</v>
      </c>
      <c r="M393" s="1145">
        <f>T393</f>
        <v>0</v>
      </c>
      <c r="N393" s="1153">
        <f>T393</f>
        <v>0</v>
      </c>
      <c r="O393" s="1181"/>
      <c r="P393" s="1181"/>
      <c r="Q393" s="1181"/>
      <c r="R393" s="1181"/>
      <c r="S393" s="1181"/>
      <c r="T393" s="1153"/>
      <c r="U393" s="1154"/>
      <c r="V393" s="1145">
        <f t="shared" si="106"/>
        <v>116404933</v>
      </c>
    </row>
    <row r="394" spans="1:22" ht="33" customHeight="1" x14ac:dyDescent="0.25">
      <c r="A394" s="1150" t="s">
        <v>1355</v>
      </c>
      <c r="B394" s="1151" t="s">
        <v>407</v>
      </c>
      <c r="C394" s="1151" t="s">
        <v>1251</v>
      </c>
      <c r="D394" s="1200" t="s">
        <v>406</v>
      </c>
      <c r="E394" s="1145">
        <f>F394+L394</f>
        <v>2027714</v>
      </c>
      <c r="F394" s="1172"/>
      <c r="G394" s="1172"/>
      <c r="H394" s="1172"/>
      <c r="I394" s="1172"/>
      <c r="J394" s="1171"/>
      <c r="K394" s="1171"/>
      <c r="L394" s="1171">
        <v>2027714</v>
      </c>
      <c r="M394" s="1145">
        <f>T394</f>
        <v>0</v>
      </c>
      <c r="N394" s="1153"/>
      <c r="O394" s="1181"/>
      <c r="P394" s="1181"/>
      <c r="Q394" s="1181"/>
      <c r="R394" s="1181"/>
      <c r="S394" s="1181"/>
      <c r="T394" s="1153"/>
      <c r="U394" s="1154"/>
      <c r="V394" s="1145">
        <f>M394+E394</f>
        <v>2027714</v>
      </c>
    </row>
    <row r="395" spans="1:22" ht="31.2" hidden="1" customHeight="1" x14ac:dyDescent="0.25">
      <c r="A395" s="1150" t="s">
        <v>1356</v>
      </c>
      <c r="B395" s="1151" t="s">
        <v>411</v>
      </c>
      <c r="C395" s="1151" t="s">
        <v>1023</v>
      </c>
      <c r="D395" s="1152" t="s">
        <v>1260</v>
      </c>
      <c r="E395" s="1145"/>
      <c r="F395" s="1181"/>
      <c r="G395" s="1181"/>
      <c r="H395" s="1181"/>
      <c r="I395" s="1181"/>
      <c r="J395" s="1181"/>
      <c r="K395" s="1181"/>
      <c r="L395" s="1181"/>
      <c r="M395" s="1145">
        <f>O395+T395</f>
        <v>0</v>
      </c>
      <c r="N395" s="1153">
        <f>T395</f>
        <v>0</v>
      </c>
      <c r="O395" s="1181"/>
      <c r="P395" s="1181"/>
      <c r="Q395" s="1181"/>
      <c r="R395" s="1181"/>
      <c r="S395" s="1181"/>
      <c r="T395" s="1153"/>
      <c r="U395" s="1154"/>
      <c r="V395" s="1145">
        <f t="shared" si="106"/>
        <v>0</v>
      </c>
    </row>
    <row r="396" spans="1:22" ht="15.6" x14ac:dyDescent="0.25">
      <c r="A396" s="1150" t="s">
        <v>1357</v>
      </c>
      <c r="B396" s="1151" t="s">
        <v>438</v>
      </c>
      <c r="C396" s="1151" t="s">
        <v>1270</v>
      </c>
      <c r="D396" s="1170" t="s">
        <v>437</v>
      </c>
      <c r="E396" s="1145">
        <f>F396+L396</f>
        <v>127002000</v>
      </c>
      <c r="F396" s="1172">
        <f>K396</f>
        <v>127002000</v>
      </c>
      <c r="G396" s="1181"/>
      <c r="H396" s="1181"/>
      <c r="I396" s="1181"/>
      <c r="J396" s="1181"/>
      <c r="K396" s="1153">
        <v>127002000</v>
      </c>
      <c r="L396" s="1153"/>
      <c r="M396" s="1145">
        <f>O396+T396</f>
        <v>0</v>
      </c>
      <c r="N396" s="1153">
        <f>T396</f>
        <v>0</v>
      </c>
      <c r="O396" s="1181"/>
      <c r="P396" s="1181"/>
      <c r="Q396" s="1181"/>
      <c r="R396" s="1181"/>
      <c r="S396" s="1181"/>
      <c r="T396" s="1153"/>
      <c r="U396" s="1154"/>
      <c r="V396" s="1145">
        <f t="shared" si="106"/>
        <v>127002000</v>
      </c>
    </row>
    <row r="397" spans="1:22" ht="15.6" hidden="1" x14ac:dyDescent="0.25">
      <c r="A397" s="1150" t="s">
        <v>1358</v>
      </c>
      <c r="B397" s="1151" t="s">
        <v>440</v>
      </c>
      <c r="C397" s="1151" t="s">
        <v>1272</v>
      </c>
      <c r="D397" s="1170" t="s">
        <v>439</v>
      </c>
      <c r="E397" s="1145">
        <f>F397+L397</f>
        <v>0</v>
      </c>
      <c r="F397" s="1172">
        <f>SUM(G397:K397)</f>
        <v>0</v>
      </c>
      <c r="G397" s="1181"/>
      <c r="H397" s="1181"/>
      <c r="I397" s="1181"/>
      <c r="J397" s="1181"/>
      <c r="K397" s="1153"/>
      <c r="L397" s="1153"/>
      <c r="M397" s="1145">
        <f>O397+T397</f>
        <v>0</v>
      </c>
      <c r="N397" s="1153">
        <f>T397</f>
        <v>0</v>
      </c>
      <c r="O397" s="1181"/>
      <c r="P397" s="1181"/>
      <c r="Q397" s="1181"/>
      <c r="R397" s="1181"/>
      <c r="S397" s="1181"/>
      <c r="T397" s="1153"/>
      <c r="U397" s="1154"/>
      <c r="V397" s="1145">
        <f t="shared" si="106"/>
        <v>0</v>
      </c>
    </row>
    <row r="398" spans="1:22" ht="48.45" customHeight="1" x14ac:dyDescent="0.25">
      <c r="A398" s="1150" t="s">
        <v>1359</v>
      </c>
      <c r="B398" s="1151" t="s">
        <v>442</v>
      </c>
      <c r="C398" s="1151" t="s">
        <v>1276</v>
      </c>
      <c r="D398" s="1176" t="s">
        <v>441</v>
      </c>
      <c r="E398" s="1145">
        <f>F398+L398</f>
        <v>207800000</v>
      </c>
      <c r="F398" s="1172">
        <f>SUM(G398:K398)</f>
        <v>69542303</v>
      </c>
      <c r="G398" s="1157"/>
      <c r="H398" s="1157"/>
      <c r="I398" s="1157"/>
      <c r="J398" s="1157"/>
      <c r="K398" s="1172">
        <v>69542303</v>
      </c>
      <c r="L398" s="1172">
        <v>138257697</v>
      </c>
      <c r="M398" s="1145">
        <f>O398+T398</f>
        <v>0</v>
      </c>
      <c r="N398" s="1153">
        <f>T398</f>
        <v>0</v>
      </c>
      <c r="O398" s="1153"/>
      <c r="P398" s="1181"/>
      <c r="Q398" s="1181"/>
      <c r="R398" s="1181"/>
      <c r="S398" s="1181"/>
      <c r="T398" s="1153"/>
      <c r="U398" s="1180"/>
      <c r="V398" s="1145">
        <f t="shared" si="106"/>
        <v>207800000</v>
      </c>
    </row>
    <row r="399" spans="1:22" ht="124.5" customHeight="1" x14ac:dyDescent="0.25">
      <c r="A399" s="1150" t="s">
        <v>1360</v>
      </c>
      <c r="B399" s="1151" t="s">
        <v>464</v>
      </c>
      <c r="C399" s="1151" t="s">
        <v>1038</v>
      </c>
      <c r="D399" s="1252" t="s">
        <v>463</v>
      </c>
      <c r="E399" s="1145"/>
      <c r="F399" s="1172"/>
      <c r="G399" s="1157"/>
      <c r="H399" s="1157"/>
      <c r="I399" s="1157"/>
      <c r="J399" s="1157"/>
      <c r="K399" s="1172"/>
      <c r="L399" s="1172"/>
      <c r="M399" s="1145">
        <f>O399</f>
        <v>970000</v>
      </c>
      <c r="N399" s="1153"/>
      <c r="O399" s="1153">
        <v>970000</v>
      </c>
      <c r="P399" s="1181"/>
      <c r="Q399" s="1181"/>
      <c r="R399" s="1181"/>
      <c r="S399" s="1181"/>
      <c r="T399" s="1153"/>
      <c r="U399" s="1154"/>
      <c r="V399" s="1145">
        <f t="shared" si="106"/>
        <v>970000</v>
      </c>
    </row>
    <row r="400" spans="1:22" ht="15.6" hidden="1" x14ac:dyDescent="0.25">
      <c r="A400" s="1150" t="s">
        <v>1361</v>
      </c>
      <c r="B400" s="1151" t="s">
        <v>478</v>
      </c>
      <c r="C400" s="1151" t="s">
        <v>1288</v>
      </c>
      <c r="D400" s="1152" t="s">
        <v>477</v>
      </c>
      <c r="E400" s="1145">
        <f>F400+L400</f>
        <v>0</v>
      </c>
      <c r="F400" s="1153">
        <f>G400+H400+I400+J400+K400</f>
        <v>0</v>
      </c>
      <c r="G400" s="1153"/>
      <c r="H400" s="1153"/>
      <c r="I400" s="1153"/>
      <c r="J400" s="1153"/>
      <c r="K400" s="1153"/>
      <c r="L400" s="1153"/>
      <c r="M400" s="1145">
        <f>O400+T400</f>
        <v>0</v>
      </c>
      <c r="N400" s="1153">
        <f>T400</f>
        <v>0</v>
      </c>
      <c r="O400" s="1153"/>
      <c r="P400" s="1153"/>
      <c r="Q400" s="1181"/>
      <c r="R400" s="1181"/>
      <c r="S400" s="1181"/>
      <c r="T400" s="1153"/>
      <c r="U400" s="1154"/>
      <c r="V400" s="1145">
        <f t="shared" si="106"/>
        <v>0</v>
      </c>
    </row>
    <row r="401" spans="1:22" ht="15.6" x14ac:dyDescent="0.25">
      <c r="A401" s="1150" t="s">
        <v>1362</v>
      </c>
      <c r="B401" s="1151" t="s">
        <v>484</v>
      </c>
      <c r="C401" s="1151" t="s">
        <v>1290</v>
      </c>
      <c r="D401" s="1152" t="s">
        <v>483</v>
      </c>
      <c r="E401" s="1145">
        <f>F401+L401</f>
        <v>14507000</v>
      </c>
      <c r="F401" s="1153">
        <f>G401+H401+I401+J401+K401</f>
        <v>14507000</v>
      </c>
      <c r="G401" s="1153"/>
      <c r="H401" s="1153"/>
      <c r="I401" s="1153"/>
      <c r="J401" s="1153"/>
      <c r="K401" s="1153">
        <f>11507000+3000000</f>
        <v>14507000</v>
      </c>
      <c r="L401" s="1153"/>
      <c r="M401" s="1145">
        <f>T401</f>
        <v>0</v>
      </c>
      <c r="N401" s="1153">
        <f>T401</f>
        <v>0</v>
      </c>
      <c r="O401" s="1153"/>
      <c r="P401" s="1153"/>
      <c r="Q401" s="1181"/>
      <c r="R401" s="1181"/>
      <c r="S401" s="1181"/>
      <c r="T401" s="1153"/>
      <c r="U401" s="1154"/>
      <c r="V401" s="1145">
        <f t="shared" si="106"/>
        <v>14507000</v>
      </c>
    </row>
    <row r="402" spans="1:22" ht="36" customHeight="1" x14ac:dyDescent="0.25">
      <c r="A402" s="1150" t="s">
        <v>1363</v>
      </c>
      <c r="B402" s="1151" t="s">
        <v>488</v>
      </c>
      <c r="C402" s="1151" t="s">
        <v>1292</v>
      </c>
      <c r="D402" s="1255" t="s">
        <v>487</v>
      </c>
      <c r="E402" s="1145">
        <f>F402+L402</f>
        <v>0</v>
      </c>
      <c r="F402" s="1153"/>
      <c r="G402" s="1153"/>
      <c r="H402" s="1153"/>
      <c r="I402" s="1153"/>
      <c r="J402" s="1153"/>
      <c r="K402" s="1153"/>
      <c r="L402" s="1153"/>
      <c r="M402" s="1145">
        <f>O402+T402</f>
        <v>25510000</v>
      </c>
      <c r="N402" s="1153"/>
      <c r="O402" s="1153">
        <f>19108000+1402000+1630000</f>
        <v>22140000</v>
      </c>
      <c r="P402" s="1153"/>
      <c r="Q402" s="1181"/>
      <c r="R402" s="1181"/>
      <c r="S402" s="1181"/>
      <c r="T402" s="1153">
        <v>3370000</v>
      </c>
      <c r="U402" s="1154"/>
      <c r="V402" s="1145">
        <f t="shared" si="106"/>
        <v>25510000</v>
      </c>
    </row>
    <row r="403" spans="1:22" s="1147" customFormat="1" ht="28.5" hidden="1" customHeight="1" x14ac:dyDescent="0.25">
      <c r="A403" s="1142" t="s">
        <v>1364</v>
      </c>
      <c r="B403" s="1143"/>
      <c r="C403" s="1142"/>
      <c r="D403" s="1259" t="s">
        <v>1365</v>
      </c>
      <c r="E403" s="1145">
        <f>E404</f>
        <v>0</v>
      </c>
      <c r="F403" s="1145">
        <f>F404</f>
        <v>0</v>
      </c>
      <c r="G403" s="1145">
        <f>G404</f>
        <v>0</v>
      </c>
      <c r="H403" s="1145"/>
      <c r="I403" s="1145">
        <f>I404</f>
        <v>0</v>
      </c>
      <c r="J403" s="1145">
        <f>J404</f>
        <v>0</v>
      </c>
      <c r="K403" s="1145">
        <f>K404</f>
        <v>0</v>
      </c>
      <c r="L403" s="1145"/>
      <c r="M403" s="1145">
        <f>M404</f>
        <v>0</v>
      </c>
      <c r="N403" s="1145">
        <f>N404</f>
        <v>0</v>
      </c>
      <c r="O403" s="1145">
        <f>O404</f>
        <v>0</v>
      </c>
      <c r="P403" s="1145">
        <f>P404</f>
        <v>0</v>
      </c>
      <c r="Q403" s="1145"/>
      <c r="R403" s="1145"/>
      <c r="S403" s="1145">
        <f>S404</f>
        <v>0</v>
      </c>
      <c r="T403" s="1145">
        <f>T404</f>
        <v>0</v>
      </c>
      <c r="U403" s="1146">
        <f>U404</f>
        <v>0</v>
      </c>
      <c r="V403" s="1145">
        <f t="shared" ref="V403:V413" si="108">E403+M403</f>
        <v>0</v>
      </c>
    </row>
    <row r="404" spans="1:22" s="1147" customFormat="1" ht="28.5" hidden="1" customHeight="1" x14ac:dyDescent="0.25">
      <c r="A404" s="1142" t="s">
        <v>1366</v>
      </c>
      <c r="B404" s="1143"/>
      <c r="C404" s="1142"/>
      <c r="D404" s="1259" t="s">
        <v>1365</v>
      </c>
      <c r="E404" s="1145">
        <f>E405+E407+E414+E416+E418+E422+E424+E426</f>
        <v>0</v>
      </c>
      <c r="F404" s="1145">
        <f>F405+F407+F414+F416+F418+F422+F424+F426</f>
        <v>0</v>
      </c>
      <c r="G404" s="1145">
        <f t="shared" ref="G404:U404" si="109">G405+G407+G414+G416+G418+G422+G424+G426</f>
        <v>0</v>
      </c>
      <c r="H404" s="1145">
        <f t="shared" si="109"/>
        <v>0</v>
      </c>
      <c r="I404" s="1145">
        <f t="shared" si="109"/>
        <v>0</v>
      </c>
      <c r="J404" s="1145">
        <f t="shared" si="109"/>
        <v>0</v>
      </c>
      <c r="K404" s="1145">
        <f t="shared" si="109"/>
        <v>0</v>
      </c>
      <c r="L404" s="1145">
        <f t="shared" si="109"/>
        <v>0</v>
      </c>
      <c r="M404" s="1145">
        <f>M405+M407+M414+M417+M420+M421+M422+M424+M426</f>
        <v>0</v>
      </c>
      <c r="N404" s="1145">
        <f t="shared" ref="N404:S404" si="110">N405+N407+N414+N417+N420+N422+N424+N426+N421</f>
        <v>0</v>
      </c>
      <c r="O404" s="1145">
        <f t="shared" si="110"/>
        <v>0</v>
      </c>
      <c r="P404" s="1145">
        <f t="shared" si="110"/>
        <v>0</v>
      </c>
      <c r="Q404" s="1145">
        <f t="shared" si="110"/>
        <v>0</v>
      </c>
      <c r="R404" s="1145">
        <f t="shared" si="110"/>
        <v>0</v>
      </c>
      <c r="S404" s="1145">
        <f t="shared" si="110"/>
        <v>0</v>
      </c>
      <c r="T404" s="1145">
        <f>T405+T407+T414+T417+T420+T422+T424+T426+T421</f>
        <v>0</v>
      </c>
      <c r="U404" s="1146">
        <f t="shared" si="109"/>
        <v>0</v>
      </c>
      <c r="V404" s="1145">
        <f t="shared" si="108"/>
        <v>0</v>
      </c>
    </row>
    <row r="405" spans="1:22" ht="54" hidden="1" customHeight="1" x14ac:dyDescent="0.25">
      <c r="A405" s="1150" t="s">
        <v>1367</v>
      </c>
      <c r="B405" s="1151" t="s">
        <v>273</v>
      </c>
      <c r="C405" s="1151" t="s">
        <v>885</v>
      </c>
      <c r="D405" s="1152" t="s">
        <v>1353</v>
      </c>
      <c r="E405" s="1145">
        <f>F405+L405</f>
        <v>0</v>
      </c>
      <c r="F405" s="1153">
        <f>SUM(G405:L405)</f>
        <v>0</v>
      </c>
      <c r="G405" s="1153"/>
      <c r="H405" s="1153"/>
      <c r="I405" s="1153"/>
      <c r="J405" s="1153"/>
      <c r="K405" s="1153"/>
      <c r="L405" s="1181"/>
      <c r="M405" s="1145">
        <f>O405+T405</f>
        <v>0</v>
      </c>
      <c r="N405" s="1153">
        <f>T405</f>
        <v>0</v>
      </c>
      <c r="O405" s="1153"/>
      <c r="P405" s="1153"/>
      <c r="Q405" s="1153"/>
      <c r="R405" s="1153"/>
      <c r="S405" s="1153"/>
      <c r="T405" s="1153"/>
      <c r="U405" s="1154"/>
      <c r="V405" s="1145">
        <f t="shared" si="108"/>
        <v>0</v>
      </c>
    </row>
    <row r="406" spans="1:22" ht="55.2" hidden="1" x14ac:dyDescent="0.25">
      <c r="A406" s="1150" t="s">
        <v>1368</v>
      </c>
      <c r="B406" s="1151" t="s">
        <v>1369</v>
      </c>
      <c r="C406" s="1151" t="s">
        <v>885</v>
      </c>
      <c r="D406" s="1170" t="s">
        <v>1370</v>
      </c>
      <c r="E406" s="1145">
        <f>F406+L406</f>
        <v>0</v>
      </c>
      <c r="F406" s="1153">
        <f>G406+H406+I406+J406+K406</f>
        <v>0</v>
      </c>
      <c r="G406" s="1153"/>
      <c r="H406" s="1153"/>
      <c r="I406" s="1153"/>
      <c r="J406" s="1153"/>
      <c r="K406" s="1153"/>
      <c r="L406" s="1181"/>
      <c r="M406" s="1145">
        <f>O406+T406</f>
        <v>0</v>
      </c>
      <c r="N406" s="1153"/>
      <c r="O406" s="1153"/>
      <c r="P406" s="1153"/>
      <c r="Q406" s="1153"/>
      <c r="R406" s="1153"/>
      <c r="S406" s="1153"/>
      <c r="T406" s="1153"/>
      <c r="U406" s="1192"/>
      <c r="V406" s="1145">
        <f t="shared" si="108"/>
        <v>0</v>
      </c>
    </row>
    <row r="407" spans="1:22" ht="38.4" hidden="1" customHeight="1" x14ac:dyDescent="0.25">
      <c r="A407" s="1155">
        <v>2010180</v>
      </c>
      <c r="B407" s="1151" t="s">
        <v>275</v>
      </c>
      <c r="C407" s="1151" t="s">
        <v>1319</v>
      </c>
      <c r="D407" s="1170" t="s">
        <v>1320</v>
      </c>
      <c r="E407" s="1145">
        <f>F407+L407</f>
        <v>0</v>
      </c>
      <c r="F407" s="1153">
        <f>SUM(F408:F413)</f>
        <v>0</v>
      </c>
      <c r="G407" s="1153">
        <f t="shared" ref="G407:L407" si="111">SUM(G408:G412)</f>
        <v>0</v>
      </c>
      <c r="H407" s="1153">
        <f t="shared" si="111"/>
        <v>0</v>
      </c>
      <c r="I407" s="1153">
        <f t="shared" si="111"/>
        <v>0</v>
      </c>
      <c r="J407" s="1153">
        <f>SUM(J408:J413)</f>
        <v>0</v>
      </c>
      <c r="K407" s="1153">
        <f>SUM(K408:K413)</f>
        <v>0</v>
      </c>
      <c r="L407" s="1153">
        <f t="shared" si="111"/>
        <v>0</v>
      </c>
      <c r="M407" s="1145">
        <f>O407+T407</f>
        <v>0</v>
      </c>
      <c r="N407" s="1153">
        <f>N409</f>
        <v>0</v>
      </c>
      <c r="O407" s="1153"/>
      <c r="P407" s="1153"/>
      <c r="Q407" s="1153"/>
      <c r="R407" s="1153"/>
      <c r="S407" s="1153"/>
      <c r="T407" s="1153">
        <f>T409</f>
        <v>0</v>
      </c>
      <c r="U407" s="1154"/>
      <c r="V407" s="1145">
        <f t="shared" si="108"/>
        <v>0</v>
      </c>
    </row>
    <row r="408" spans="1:22" s="1166" customFormat="1" ht="74.400000000000006" hidden="1" customHeight="1" x14ac:dyDescent="0.25">
      <c r="A408" s="1150"/>
      <c r="B408" s="1158"/>
      <c r="C408" s="1168" t="s">
        <v>1371</v>
      </c>
      <c r="D408" s="1186" t="s">
        <v>1372</v>
      </c>
      <c r="E408" s="1161">
        <f t="shared" ref="E408:E413" si="112">F408</f>
        <v>0</v>
      </c>
      <c r="F408" s="1163">
        <f t="shared" ref="F408:F413" si="113">SUM(G408:K408)</f>
        <v>0</v>
      </c>
      <c r="G408" s="1163"/>
      <c r="H408" s="1163"/>
      <c r="I408" s="1163"/>
      <c r="J408" s="1163"/>
      <c r="K408" s="1163"/>
      <c r="L408" s="1163"/>
      <c r="M408" s="1145"/>
      <c r="N408" s="1163"/>
      <c r="O408" s="1163"/>
      <c r="P408" s="1163"/>
      <c r="Q408" s="1163"/>
      <c r="R408" s="1163"/>
      <c r="S408" s="1163"/>
      <c r="T408" s="1163"/>
      <c r="U408" s="1165"/>
      <c r="V408" s="1145">
        <f t="shared" si="108"/>
        <v>0</v>
      </c>
    </row>
    <row r="409" spans="1:22" s="1166" customFormat="1" ht="55.95" hidden="1" customHeight="1" x14ac:dyDescent="0.25">
      <c r="A409" s="1150"/>
      <c r="B409" s="1158"/>
      <c r="C409" s="1168"/>
      <c r="D409" s="1186" t="s">
        <v>1373</v>
      </c>
      <c r="E409" s="1161">
        <f t="shared" si="112"/>
        <v>0</v>
      </c>
      <c r="F409" s="1163">
        <f t="shared" si="113"/>
        <v>0</v>
      </c>
      <c r="G409" s="1163"/>
      <c r="H409" s="1163"/>
      <c r="I409" s="1163"/>
      <c r="J409" s="1163"/>
      <c r="K409" s="1163"/>
      <c r="L409" s="1163"/>
      <c r="M409" s="1161">
        <f>T409</f>
        <v>0</v>
      </c>
      <c r="N409" s="1163">
        <f>T409</f>
        <v>0</v>
      </c>
      <c r="O409" s="1163"/>
      <c r="P409" s="1163"/>
      <c r="Q409" s="1163"/>
      <c r="R409" s="1163"/>
      <c r="S409" s="1163"/>
      <c r="T409" s="1163">
        <f>200000+800000-1000000</f>
        <v>0</v>
      </c>
      <c r="U409" s="1165"/>
      <c r="V409" s="1145">
        <f t="shared" si="108"/>
        <v>0</v>
      </c>
    </row>
    <row r="410" spans="1:22" s="1166" customFormat="1" ht="27.6" hidden="1" x14ac:dyDescent="0.25">
      <c r="A410" s="1150"/>
      <c r="B410" s="1158"/>
      <c r="C410" s="1168"/>
      <c r="D410" s="1186" t="s">
        <v>1374</v>
      </c>
      <c r="E410" s="1161">
        <f t="shared" si="112"/>
        <v>0</v>
      </c>
      <c r="F410" s="1163">
        <f t="shared" si="113"/>
        <v>0</v>
      </c>
      <c r="G410" s="1163"/>
      <c r="H410" s="1163"/>
      <c r="I410" s="1163"/>
      <c r="J410" s="1163"/>
      <c r="K410" s="1163"/>
      <c r="L410" s="1163"/>
      <c r="M410" s="1145"/>
      <c r="N410" s="1163"/>
      <c r="O410" s="1163"/>
      <c r="P410" s="1163"/>
      <c r="Q410" s="1163"/>
      <c r="R410" s="1163"/>
      <c r="S410" s="1163"/>
      <c r="T410" s="1163"/>
      <c r="U410" s="1165"/>
      <c r="V410" s="1145">
        <f t="shared" si="108"/>
        <v>0</v>
      </c>
    </row>
    <row r="411" spans="1:22" s="1166" customFormat="1" ht="56.4" hidden="1" customHeight="1" x14ac:dyDescent="0.25">
      <c r="A411" s="1150"/>
      <c r="B411" s="1158"/>
      <c r="C411" s="1168"/>
      <c r="D411" s="1186" t="s">
        <v>1375</v>
      </c>
      <c r="E411" s="1161">
        <f t="shared" si="112"/>
        <v>0</v>
      </c>
      <c r="F411" s="1163">
        <f t="shared" si="113"/>
        <v>0</v>
      </c>
      <c r="G411" s="1163"/>
      <c r="H411" s="1163"/>
      <c r="I411" s="1163"/>
      <c r="J411" s="1163"/>
      <c r="K411" s="1163"/>
      <c r="L411" s="1163"/>
      <c r="M411" s="1145"/>
      <c r="N411" s="1163"/>
      <c r="O411" s="1163"/>
      <c r="P411" s="1163"/>
      <c r="Q411" s="1163"/>
      <c r="R411" s="1163"/>
      <c r="S411" s="1163"/>
      <c r="T411" s="1163"/>
      <c r="U411" s="1165"/>
      <c r="V411" s="1145">
        <f t="shared" si="108"/>
        <v>0</v>
      </c>
    </row>
    <row r="412" spans="1:22" s="1166" customFormat="1" ht="82.8" hidden="1" x14ac:dyDescent="0.25">
      <c r="A412" s="1150"/>
      <c r="B412" s="1158"/>
      <c r="C412" s="1168"/>
      <c r="D412" s="1186" t="s">
        <v>1376</v>
      </c>
      <c r="E412" s="1161">
        <f t="shared" si="112"/>
        <v>0</v>
      </c>
      <c r="F412" s="1163">
        <f t="shared" si="113"/>
        <v>0</v>
      </c>
      <c r="G412" s="1163"/>
      <c r="H412" s="1163"/>
      <c r="I412" s="1163"/>
      <c r="J412" s="1163"/>
      <c r="K412" s="1163"/>
      <c r="L412" s="1163"/>
      <c r="M412" s="1145"/>
      <c r="N412" s="1163"/>
      <c r="O412" s="1163"/>
      <c r="P412" s="1163"/>
      <c r="Q412" s="1163"/>
      <c r="R412" s="1163"/>
      <c r="S412" s="1163"/>
      <c r="T412" s="1163"/>
      <c r="U412" s="1165"/>
      <c r="V412" s="1145">
        <f t="shared" si="108"/>
        <v>0</v>
      </c>
    </row>
    <row r="413" spans="1:22" s="1166" customFormat="1" ht="99.6" hidden="1" customHeight="1" x14ac:dyDescent="0.25">
      <c r="A413" s="1150"/>
      <c r="B413" s="1158"/>
      <c r="C413" s="1168"/>
      <c r="D413" s="1186" t="s">
        <v>1377</v>
      </c>
      <c r="E413" s="1161">
        <f t="shared" si="112"/>
        <v>0</v>
      </c>
      <c r="F413" s="1163">
        <f t="shared" si="113"/>
        <v>0</v>
      </c>
      <c r="G413" s="1163"/>
      <c r="H413" s="1163"/>
      <c r="I413" s="1163"/>
      <c r="J413" s="1163"/>
      <c r="K413" s="1163"/>
      <c r="L413" s="1163"/>
      <c r="M413" s="1145"/>
      <c r="N413" s="1163"/>
      <c r="O413" s="1163"/>
      <c r="P413" s="1163"/>
      <c r="Q413" s="1163"/>
      <c r="R413" s="1163"/>
      <c r="S413" s="1163"/>
      <c r="T413" s="1163"/>
      <c r="U413" s="1165"/>
      <c r="V413" s="1145">
        <f t="shared" si="108"/>
        <v>0</v>
      </c>
    </row>
    <row r="414" spans="1:22" ht="35.4" hidden="1" customHeight="1" x14ac:dyDescent="0.25">
      <c r="A414" s="1150" t="s">
        <v>1378</v>
      </c>
      <c r="B414" s="1169">
        <v>3242</v>
      </c>
      <c r="C414" s="1228" t="s">
        <v>1379</v>
      </c>
      <c r="D414" s="1208" t="s">
        <v>344</v>
      </c>
      <c r="E414" s="1145">
        <f t="shared" ref="E414:K414" si="114">E415</f>
        <v>0</v>
      </c>
      <c r="F414" s="1172">
        <f t="shared" si="114"/>
        <v>0</v>
      </c>
      <c r="G414" s="1172">
        <f t="shared" si="114"/>
        <v>0</v>
      </c>
      <c r="H414" s="1172">
        <f t="shared" si="114"/>
        <v>0</v>
      </c>
      <c r="I414" s="1172">
        <f t="shared" si="114"/>
        <v>0</v>
      </c>
      <c r="J414" s="1172">
        <f t="shared" si="114"/>
        <v>0</v>
      </c>
      <c r="K414" s="1172">
        <f t="shared" si="114"/>
        <v>0</v>
      </c>
      <c r="L414" s="1153"/>
      <c r="M414" s="1145">
        <f>O414+T414</f>
        <v>0</v>
      </c>
      <c r="N414" s="1153"/>
      <c r="O414" s="1153"/>
      <c r="P414" s="1153"/>
      <c r="Q414" s="1153"/>
      <c r="R414" s="1153"/>
      <c r="S414" s="1153"/>
      <c r="T414" s="1153"/>
      <c r="U414" s="1154"/>
      <c r="V414" s="1145">
        <f>M414+E414</f>
        <v>0</v>
      </c>
    </row>
    <row r="415" spans="1:22" s="1166" customFormat="1" ht="129.6" hidden="1" customHeight="1" x14ac:dyDescent="0.25">
      <c r="A415" s="1150"/>
      <c r="B415" s="1158"/>
      <c r="C415" s="1168"/>
      <c r="D415" s="1260" t="s">
        <v>1380</v>
      </c>
      <c r="E415" s="1161">
        <f>F415+L415</f>
        <v>0</v>
      </c>
      <c r="F415" s="1163">
        <f>SUM(G415:K415)</f>
        <v>0</v>
      </c>
      <c r="G415" s="1163"/>
      <c r="H415" s="1163"/>
      <c r="I415" s="1163"/>
      <c r="J415" s="1163"/>
      <c r="K415" s="1163"/>
      <c r="L415" s="1163"/>
      <c r="M415" s="1145"/>
      <c r="N415" s="1163"/>
      <c r="O415" s="1163"/>
      <c r="P415" s="1163"/>
      <c r="Q415" s="1163"/>
      <c r="R415" s="1163"/>
      <c r="S415" s="1163"/>
      <c r="T415" s="1163"/>
      <c r="U415" s="1165"/>
      <c r="V415" s="1161">
        <f t="shared" ref="V415:V427" si="115">E415+M415</f>
        <v>0</v>
      </c>
    </row>
    <row r="416" spans="1:22" ht="35.1" hidden="1" customHeight="1" x14ac:dyDescent="0.25">
      <c r="A416" s="1150" t="s">
        <v>1381</v>
      </c>
      <c r="B416" s="1169">
        <v>4080</v>
      </c>
      <c r="C416" s="1151"/>
      <c r="D416" s="1152" t="s">
        <v>367</v>
      </c>
      <c r="E416" s="1145">
        <f>F416+L416</f>
        <v>0</v>
      </c>
      <c r="F416" s="1153">
        <f>F417</f>
        <v>0</v>
      </c>
      <c r="G416" s="1153">
        <f t="shared" ref="G416:L416" si="116">G417</f>
        <v>0</v>
      </c>
      <c r="H416" s="1153">
        <f t="shared" si="116"/>
        <v>0</v>
      </c>
      <c r="I416" s="1153">
        <f t="shared" si="116"/>
        <v>0</v>
      </c>
      <c r="J416" s="1153">
        <f t="shared" si="116"/>
        <v>0</v>
      </c>
      <c r="K416" s="1153">
        <f t="shared" si="116"/>
        <v>0</v>
      </c>
      <c r="L416" s="1153">
        <f t="shared" si="116"/>
        <v>0</v>
      </c>
      <c r="M416" s="1145" t="e">
        <f>O416+T416</f>
        <v>#REF!</v>
      </c>
      <c r="N416" s="1153">
        <f>O416</f>
        <v>0</v>
      </c>
      <c r="O416" s="1153"/>
      <c r="P416" s="1153"/>
      <c r="Q416" s="1153"/>
      <c r="R416" s="1153"/>
      <c r="S416" s="1153"/>
      <c r="T416" s="1153" t="e">
        <f>#REF!</f>
        <v>#REF!</v>
      </c>
      <c r="U416" s="1154"/>
      <c r="V416" s="1145" t="e">
        <f t="shared" si="115"/>
        <v>#REF!</v>
      </c>
    </row>
    <row r="417" spans="1:22" ht="15.6" hidden="1" x14ac:dyDescent="0.25">
      <c r="A417" s="1150" t="s">
        <v>1382</v>
      </c>
      <c r="B417" s="1169">
        <v>4082</v>
      </c>
      <c r="C417" s="1151" t="s">
        <v>994</v>
      </c>
      <c r="D417" s="1152" t="s">
        <v>371</v>
      </c>
      <c r="E417" s="1145">
        <f>F417+L417</f>
        <v>0</v>
      </c>
      <c r="F417" s="1153">
        <f>SUM(G417:K417)</f>
        <v>0</v>
      </c>
      <c r="G417" s="1153"/>
      <c r="H417" s="1153"/>
      <c r="I417" s="1153"/>
      <c r="J417" s="1153"/>
      <c r="K417" s="1153"/>
      <c r="L417" s="1153"/>
      <c r="M417" s="1145"/>
      <c r="N417" s="1153"/>
      <c r="O417" s="1153"/>
      <c r="P417" s="1153"/>
      <c r="Q417" s="1153"/>
      <c r="R417" s="1153"/>
      <c r="S417" s="1153"/>
      <c r="T417" s="1153"/>
      <c r="U417" s="1154"/>
      <c r="V417" s="1145">
        <f t="shared" si="115"/>
        <v>0</v>
      </c>
    </row>
    <row r="418" spans="1:22" ht="15.6" hidden="1" x14ac:dyDescent="0.25">
      <c r="A418" s="1150" t="s">
        <v>1383</v>
      </c>
      <c r="B418" s="1169">
        <v>8400</v>
      </c>
      <c r="C418" s="1151"/>
      <c r="D418" s="1152" t="s">
        <v>489</v>
      </c>
      <c r="E418" s="1145">
        <f>E419+E420</f>
        <v>0</v>
      </c>
      <c r="F418" s="1153">
        <f>F419+F420</f>
        <v>0</v>
      </c>
      <c r="G418" s="1153">
        <f>G419</f>
        <v>0</v>
      </c>
      <c r="H418" s="1153">
        <f>H419</f>
        <v>0</v>
      </c>
      <c r="I418" s="1153">
        <f>I419</f>
        <v>0</v>
      </c>
      <c r="J418" s="1153">
        <f>J419</f>
        <v>0</v>
      </c>
      <c r="K418" s="1153">
        <f>SUM(K419:K420)</f>
        <v>0</v>
      </c>
      <c r="L418" s="1153"/>
      <c r="M418" s="1145">
        <f>O418+T418</f>
        <v>0</v>
      </c>
      <c r="N418" s="1153"/>
      <c r="O418" s="1153"/>
      <c r="P418" s="1153"/>
      <c r="Q418" s="1153"/>
      <c r="R418" s="1153"/>
      <c r="S418" s="1153"/>
      <c r="T418" s="1153"/>
      <c r="U418" s="1154"/>
      <c r="V418" s="1145">
        <f t="shared" si="115"/>
        <v>0</v>
      </c>
    </row>
    <row r="419" spans="1:22" ht="15.6" hidden="1" x14ac:dyDescent="0.25">
      <c r="A419" s="1159" t="s">
        <v>1384</v>
      </c>
      <c r="B419" s="1158">
        <v>8410</v>
      </c>
      <c r="C419" s="1151" t="s">
        <v>1053</v>
      </c>
      <c r="D419" s="1203" t="s">
        <v>493</v>
      </c>
      <c r="E419" s="1145">
        <f>F419+L419</f>
        <v>0</v>
      </c>
      <c r="F419" s="1153">
        <f>SUM(G419:K419)</f>
        <v>0</v>
      </c>
      <c r="G419" s="1153"/>
      <c r="H419" s="1153"/>
      <c r="I419" s="1153"/>
      <c r="J419" s="1153"/>
      <c r="K419" s="1153"/>
      <c r="L419" s="1153"/>
      <c r="M419" s="1145">
        <f>O419+T419</f>
        <v>0</v>
      </c>
      <c r="N419" s="1153"/>
      <c r="O419" s="1153"/>
      <c r="P419" s="1153"/>
      <c r="Q419" s="1153"/>
      <c r="R419" s="1153"/>
      <c r="S419" s="1153"/>
      <c r="T419" s="1153"/>
      <c r="U419" s="1154"/>
      <c r="V419" s="1145">
        <f t="shared" si="115"/>
        <v>0</v>
      </c>
    </row>
    <row r="420" spans="1:22" ht="15.6" hidden="1" x14ac:dyDescent="0.25">
      <c r="A420" s="1150" t="s">
        <v>1385</v>
      </c>
      <c r="B420" s="1169">
        <v>8420</v>
      </c>
      <c r="C420" s="1151" t="s">
        <v>1053</v>
      </c>
      <c r="D420" s="1176" t="s">
        <v>495</v>
      </c>
      <c r="E420" s="1145">
        <f>F420+L420</f>
        <v>0</v>
      </c>
      <c r="F420" s="1153">
        <f>SUM(G420:K420)</f>
        <v>0</v>
      </c>
      <c r="G420" s="1153"/>
      <c r="H420" s="1153"/>
      <c r="I420" s="1153"/>
      <c r="J420" s="1153"/>
      <c r="K420" s="1153"/>
      <c r="L420" s="1153"/>
      <c r="M420" s="1145"/>
      <c r="N420" s="1153"/>
      <c r="O420" s="1153"/>
      <c r="P420" s="1153"/>
      <c r="Q420" s="1153"/>
      <c r="R420" s="1153"/>
      <c r="S420" s="1153"/>
      <c r="T420" s="1153"/>
      <c r="U420" s="1154"/>
      <c r="V420" s="1145">
        <f t="shared" si="115"/>
        <v>0</v>
      </c>
    </row>
    <row r="421" spans="1:22" ht="27.6" hidden="1" x14ac:dyDescent="0.25">
      <c r="A421" s="1150" t="s">
        <v>1386</v>
      </c>
      <c r="B421" s="1169">
        <v>7370</v>
      </c>
      <c r="C421" s="1151" t="s">
        <v>1038</v>
      </c>
      <c r="D421" s="1176" t="s">
        <v>418</v>
      </c>
      <c r="E421" s="1145"/>
      <c r="F421" s="1153"/>
      <c r="G421" s="1153"/>
      <c r="H421" s="1153"/>
      <c r="I421" s="1153"/>
      <c r="J421" s="1153"/>
      <c r="K421" s="1153"/>
      <c r="L421" s="1153"/>
      <c r="M421" s="1145">
        <f>T421</f>
        <v>0</v>
      </c>
      <c r="N421" s="1153">
        <f>T421</f>
        <v>0</v>
      </c>
      <c r="O421" s="1153"/>
      <c r="P421" s="1153"/>
      <c r="Q421" s="1153"/>
      <c r="R421" s="1153"/>
      <c r="S421" s="1153"/>
      <c r="T421" s="1153"/>
      <c r="U421" s="1154"/>
      <c r="V421" s="1145">
        <f t="shared" si="115"/>
        <v>0</v>
      </c>
    </row>
    <row r="422" spans="1:22" ht="27.6" hidden="1" x14ac:dyDescent="0.25">
      <c r="A422" s="1150" t="s">
        <v>1387</v>
      </c>
      <c r="B422" s="1169">
        <v>7680</v>
      </c>
      <c r="C422" s="1151" t="s">
        <v>1038</v>
      </c>
      <c r="D422" s="1152" t="s">
        <v>461</v>
      </c>
      <c r="E422" s="1145">
        <f>E423</f>
        <v>0</v>
      </c>
      <c r="F422" s="1153">
        <f>F423</f>
        <v>0</v>
      </c>
      <c r="G422" s="1153">
        <f t="shared" ref="G422:L422" si="117">G423</f>
        <v>0</v>
      </c>
      <c r="H422" s="1153">
        <f t="shared" si="117"/>
        <v>0</v>
      </c>
      <c r="I422" s="1153">
        <f t="shared" si="117"/>
        <v>0</v>
      </c>
      <c r="J422" s="1153">
        <f t="shared" si="117"/>
        <v>0</v>
      </c>
      <c r="K422" s="1153">
        <f t="shared" si="117"/>
        <v>0</v>
      </c>
      <c r="L422" s="1153">
        <f t="shared" si="117"/>
        <v>0</v>
      </c>
      <c r="M422" s="1145">
        <f>O422+T422</f>
        <v>0</v>
      </c>
      <c r="N422" s="1153">
        <f>SUM(N423:N423)</f>
        <v>0</v>
      </c>
      <c r="O422" s="1153"/>
      <c r="P422" s="1153"/>
      <c r="Q422" s="1153"/>
      <c r="R422" s="1153"/>
      <c r="S422" s="1153"/>
      <c r="T422" s="1153">
        <f>SUM(T423:T423)</f>
        <v>0</v>
      </c>
      <c r="U422" s="1154"/>
      <c r="V422" s="1145">
        <f t="shared" si="115"/>
        <v>0</v>
      </c>
    </row>
    <row r="423" spans="1:22" s="1166" customFormat="1" ht="72.599999999999994" hidden="1" customHeight="1" x14ac:dyDescent="0.25">
      <c r="A423" s="1150"/>
      <c r="B423" s="1158"/>
      <c r="C423" s="1168" t="s">
        <v>1371</v>
      </c>
      <c r="D423" s="1186" t="s">
        <v>1388</v>
      </c>
      <c r="E423" s="1161">
        <f>F423</f>
        <v>0</v>
      </c>
      <c r="F423" s="1163">
        <f>SUM(G422:K422)</f>
        <v>0</v>
      </c>
      <c r="G423" s="1163"/>
      <c r="H423" s="1163"/>
      <c r="I423" s="1163"/>
      <c r="J423" s="1163"/>
      <c r="K423" s="1163"/>
      <c r="L423" s="1163"/>
      <c r="M423" s="1145"/>
      <c r="N423" s="1163"/>
      <c r="O423" s="1163"/>
      <c r="P423" s="1163"/>
      <c r="Q423" s="1163"/>
      <c r="R423" s="1163"/>
      <c r="S423" s="1163"/>
      <c r="T423" s="1163"/>
      <c r="U423" s="1165"/>
      <c r="V423" s="1161">
        <f t="shared" si="115"/>
        <v>0</v>
      </c>
    </row>
    <row r="424" spans="1:22" ht="33" hidden="1" customHeight="1" x14ac:dyDescent="0.25">
      <c r="A424" s="1150" t="s">
        <v>1389</v>
      </c>
      <c r="B424" s="1169">
        <v>8220</v>
      </c>
      <c r="C424" s="1151" t="s">
        <v>1288</v>
      </c>
      <c r="D424" s="1242" t="s">
        <v>475</v>
      </c>
      <c r="E424" s="1145">
        <f>E425</f>
        <v>0</v>
      </c>
      <c r="F424" s="1153">
        <f>F425</f>
        <v>0</v>
      </c>
      <c r="G424" s="1153">
        <f t="shared" ref="G424:L424" si="118">G425</f>
        <v>0</v>
      </c>
      <c r="H424" s="1153">
        <f t="shared" si="118"/>
        <v>0</v>
      </c>
      <c r="I424" s="1153">
        <f t="shared" si="118"/>
        <v>0</v>
      </c>
      <c r="J424" s="1153">
        <f t="shared" si="118"/>
        <v>0</v>
      </c>
      <c r="K424" s="1153">
        <f t="shared" si="118"/>
        <v>0</v>
      </c>
      <c r="L424" s="1153">
        <f t="shared" si="118"/>
        <v>0</v>
      </c>
      <c r="M424" s="1178"/>
      <c r="N424" s="1153"/>
      <c r="O424" s="1153"/>
      <c r="P424" s="1153"/>
      <c r="Q424" s="1153"/>
      <c r="R424" s="1153"/>
      <c r="S424" s="1153"/>
      <c r="T424" s="1153"/>
      <c r="U424" s="1154"/>
      <c r="V424" s="1145">
        <f t="shared" si="115"/>
        <v>0</v>
      </c>
    </row>
    <row r="425" spans="1:22" s="1166" customFormat="1" ht="41.4" hidden="1" x14ac:dyDescent="0.25">
      <c r="A425" s="1150"/>
      <c r="B425" s="1158"/>
      <c r="C425" s="1168"/>
      <c r="D425" s="1186" t="s">
        <v>1390</v>
      </c>
      <c r="E425" s="1161">
        <f>F425</f>
        <v>0</v>
      </c>
      <c r="F425" s="1163">
        <f>SUM(G425:K425)</f>
        <v>0</v>
      </c>
      <c r="G425" s="1163"/>
      <c r="H425" s="1163"/>
      <c r="I425" s="1163"/>
      <c r="J425" s="1163"/>
      <c r="K425" s="1163"/>
      <c r="L425" s="1163"/>
      <c r="M425" s="1145"/>
      <c r="N425" s="1163"/>
      <c r="O425" s="1163"/>
      <c r="P425" s="1163"/>
      <c r="Q425" s="1163"/>
      <c r="R425" s="1163"/>
      <c r="S425" s="1163"/>
      <c r="T425" s="1163"/>
      <c r="U425" s="1165"/>
      <c r="V425" s="1161">
        <f t="shared" si="115"/>
        <v>0</v>
      </c>
    </row>
    <row r="426" spans="1:22" ht="15.6" hidden="1" x14ac:dyDescent="0.25">
      <c r="A426" s="1150" t="s">
        <v>1391</v>
      </c>
      <c r="B426" s="1169">
        <v>8230</v>
      </c>
      <c r="C426" s="1151" t="s">
        <v>1288</v>
      </c>
      <c r="D426" s="1242" t="s">
        <v>1392</v>
      </c>
      <c r="E426" s="1145">
        <f t="shared" ref="E426:L426" si="119">E427</f>
        <v>0</v>
      </c>
      <c r="F426" s="1153">
        <f t="shared" si="119"/>
        <v>0</v>
      </c>
      <c r="G426" s="1153">
        <f t="shared" si="119"/>
        <v>0</v>
      </c>
      <c r="H426" s="1153">
        <f t="shared" si="119"/>
        <v>0</v>
      </c>
      <c r="I426" s="1153">
        <f t="shared" si="119"/>
        <v>0</v>
      </c>
      <c r="J426" s="1153">
        <f t="shared" si="119"/>
        <v>0</v>
      </c>
      <c r="K426" s="1153">
        <f t="shared" si="119"/>
        <v>0</v>
      </c>
      <c r="L426" s="1153">
        <f t="shared" si="119"/>
        <v>0</v>
      </c>
      <c r="M426" s="1178"/>
      <c r="N426" s="1153"/>
      <c r="O426" s="1153"/>
      <c r="P426" s="1153"/>
      <c r="Q426" s="1153"/>
      <c r="R426" s="1153"/>
      <c r="S426" s="1153"/>
      <c r="T426" s="1153"/>
      <c r="U426" s="1154"/>
      <c r="V426" s="1145">
        <f t="shared" si="115"/>
        <v>0</v>
      </c>
    </row>
    <row r="427" spans="1:22" s="1166" customFormat="1" ht="27.6" hidden="1" x14ac:dyDescent="0.25">
      <c r="A427" s="1150"/>
      <c r="B427" s="1158"/>
      <c r="C427" s="1168"/>
      <c r="D427" s="1186" t="s">
        <v>1393</v>
      </c>
      <c r="E427" s="1161">
        <f>F427</f>
        <v>0</v>
      </c>
      <c r="F427" s="1163">
        <f>SUM(G427:K427)</f>
        <v>0</v>
      </c>
      <c r="G427" s="1163"/>
      <c r="H427" s="1163"/>
      <c r="I427" s="1163"/>
      <c r="J427" s="1163"/>
      <c r="K427" s="1163"/>
      <c r="L427" s="1163"/>
      <c r="M427" s="1145"/>
      <c r="N427" s="1163"/>
      <c r="O427" s="1163"/>
      <c r="P427" s="1163"/>
      <c r="Q427" s="1163"/>
      <c r="R427" s="1163"/>
      <c r="S427" s="1163"/>
      <c r="T427" s="1163"/>
      <c r="U427" s="1165"/>
      <c r="V427" s="1161">
        <f t="shared" si="115"/>
        <v>0</v>
      </c>
    </row>
    <row r="428" spans="1:22" s="1166" customFormat="1" ht="15.6" x14ac:dyDescent="0.25">
      <c r="A428" s="1142" t="s">
        <v>1394</v>
      </c>
      <c r="B428" s="1143"/>
      <c r="C428" s="1143"/>
      <c r="D428" s="1144" t="s">
        <v>1395</v>
      </c>
      <c r="E428" s="1145">
        <f t="shared" ref="E428:T428" si="120">E429</f>
        <v>7127175</v>
      </c>
      <c r="F428" s="1145">
        <f t="shared" si="120"/>
        <v>7127175</v>
      </c>
      <c r="G428" s="1145">
        <f t="shared" si="120"/>
        <v>5305505</v>
      </c>
      <c r="H428" s="1145">
        <f t="shared" si="120"/>
        <v>0</v>
      </c>
      <c r="I428" s="1145">
        <f t="shared" si="120"/>
        <v>0</v>
      </c>
      <c r="J428" s="1145">
        <f t="shared" si="120"/>
        <v>0</v>
      </c>
      <c r="K428" s="1145">
        <f t="shared" si="120"/>
        <v>1821670</v>
      </c>
      <c r="L428" s="1145">
        <f t="shared" si="120"/>
        <v>0</v>
      </c>
      <c r="M428" s="1145">
        <f t="shared" si="120"/>
        <v>0</v>
      </c>
      <c r="N428" s="1145">
        <f t="shared" si="120"/>
        <v>0</v>
      </c>
      <c r="O428" s="1145">
        <f t="shared" si="120"/>
        <v>0</v>
      </c>
      <c r="P428" s="1145">
        <f t="shared" si="120"/>
        <v>0</v>
      </c>
      <c r="Q428" s="1145">
        <f t="shared" si="120"/>
        <v>0</v>
      </c>
      <c r="R428" s="1145">
        <f t="shared" si="120"/>
        <v>0</v>
      </c>
      <c r="S428" s="1145">
        <f t="shared" si="120"/>
        <v>0</v>
      </c>
      <c r="T428" s="1145">
        <f t="shared" si="120"/>
        <v>0</v>
      </c>
      <c r="U428" s="1146">
        <f>U429</f>
        <v>0</v>
      </c>
      <c r="V428" s="1145">
        <f>M428+E428</f>
        <v>7127175</v>
      </c>
    </row>
    <row r="429" spans="1:22" s="1166" customFormat="1" ht="15.6" x14ac:dyDescent="0.25">
      <c r="A429" s="1142" t="s">
        <v>1396</v>
      </c>
      <c r="B429" s="1143"/>
      <c r="C429" s="1143"/>
      <c r="D429" s="1144" t="s">
        <v>1395</v>
      </c>
      <c r="E429" s="1145">
        <f>E430+E431+E439+E441+E443+E437+E445</f>
        <v>7127175</v>
      </c>
      <c r="F429" s="1145">
        <f>F430+F431+F439+F441+F443+F437+F445</f>
        <v>7127175</v>
      </c>
      <c r="G429" s="1145">
        <f>G430+G431+G439+G441+G443+G437</f>
        <v>5305505</v>
      </c>
      <c r="H429" s="1145">
        <f>H430+H431+H439+H441+H443</f>
        <v>0</v>
      </c>
      <c r="I429" s="1145">
        <f>I430+I431+I439+I441+I443</f>
        <v>0</v>
      </c>
      <c r="J429" s="1145">
        <f>J430+J431+J439+J441+J443</f>
        <v>0</v>
      </c>
      <c r="K429" s="1145">
        <f>K430+K431+K439+K441+K443+K437+K445</f>
        <v>1821670</v>
      </c>
      <c r="L429" s="1145">
        <f>L430+L431+L439+L441+L443</f>
        <v>0</v>
      </c>
      <c r="M429" s="1145">
        <f>M430+M431+M439+M441+M443+M437+M445+M436</f>
        <v>0</v>
      </c>
      <c r="N429" s="1145">
        <f>N430+N431+N439+N441+N443+N437+N445+N436</f>
        <v>0</v>
      </c>
      <c r="O429" s="1145">
        <f>O430+O431+O439+O441+O443+O437</f>
        <v>0</v>
      </c>
      <c r="P429" s="1145">
        <f>P430+P431+P439+P441+P443</f>
        <v>0</v>
      </c>
      <c r="Q429" s="1145">
        <f>Q430+Q431+Q439+Q441+Q443</f>
        <v>0</v>
      </c>
      <c r="R429" s="1145">
        <f>R430+R431+R439+R441+R443</f>
        <v>0</v>
      </c>
      <c r="S429" s="1145">
        <f>S430+S431+S439+S441+S443+S437+S445</f>
        <v>0</v>
      </c>
      <c r="T429" s="1145">
        <f>T430+T431+T439+T441+T443+T445+T436</f>
        <v>0</v>
      </c>
      <c r="U429" s="1146">
        <f>U430+U431+U439+U441+U443+U445</f>
        <v>0</v>
      </c>
      <c r="V429" s="1145">
        <f>V430+V431+V439+V441+V443+V437+V436</f>
        <v>7127175</v>
      </c>
    </row>
    <row r="430" spans="1:22" s="1166" customFormat="1" ht="48.6" customHeight="1" x14ac:dyDescent="0.25">
      <c r="A430" s="1150" t="s">
        <v>1397</v>
      </c>
      <c r="B430" s="1151" t="s">
        <v>273</v>
      </c>
      <c r="C430" s="1151" t="s">
        <v>885</v>
      </c>
      <c r="D430" s="1152" t="s">
        <v>886</v>
      </c>
      <c r="E430" s="1145">
        <f>F430</f>
        <v>6729468</v>
      </c>
      <c r="F430" s="1153">
        <f>SUM(G430:K430)</f>
        <v>6729468</v>
      </c>
      <c r="G430" s="1153">
        <f>5239951+32831+32723</f>
        <v>5305505</v>
      </c>
      <c r="H430" s="1153"/>
      <c r="I430" s="1153"/>
      <c r="J430" s="1153"/>
      <c r="K430" s="1153">
        <f>6560763-32831-5239951+45982+90000</f>
        <v>1423963</v>
      </c>
      <c r="L430" s="1153"/>
      <c r="M430" s="1145">
        <f>O430+T430</f>
        <v>0</v>
      </c>
      <c r="N430" s="1153">
        <f>T430</f>
        <v>0</v>
      </c>
      <c r="O430" s="1153"/>
      <c r="P430" s="1153"/>
      <c r="Q430" s="1153"/>
      <c r="R430" s="1153"/>
      <c r="S430" s="1153"/>
      <c r="T430" s="1153"/>
      <c r="U430" s="1154"/>
      <c r="V430" s="1145">
        <f>M430+E430</f>
        <v>6729468</v>
      </c>
    </row>
    <row r="431" spans="1:22" s="1166" customFormat="1" ht="21.75" hidden="1" customHeight="1" x14ac:dyDescent="0.25">
      <c r="A431" s="1150" t="s">
        <v>1398</v>
      </c>
      <c r="B431" s="1151" t="s">
        <v>275</v>
      </c>
      <c r="C431" s="1151" t="s">
        <v>1319</v>
      </c>
      <c r="D431" s="1170" t="s">
        <v>1320</v>
      </c>
      <c r="E431" s="1145">
        <f>E432+E435+E433+E434</f>
        <v>0</v>
      </c>
      <c r="F431" s="1153">
        <f>F432+F435+F433+F434</f>
        <v>0</v>
      </c>
      <c r="G431" s="1153"/>
      <c r="H431" s="1153">
        <f>H432+H435</f>
        <v>0</v>
      </c>
      <c r="I431" s="1153">
        <f>I432+I435</f>
        <v>0</v>
      </c>
      <c r="J431" s="1153">
        <f>J432+J435</f>
        <v>0</v>
      </c>
      <c r="K431" s="1153">
        <f>K432</f>
        <v>0</v>
      </c>
      <c r="L431" s="1153">
        <f>L432+L435</f>
        <v>0</v>
      </c>
      <c r="M431" s="1145">
        <f>T431</f>
        <v>0</v>
      </c>
      <c r="N431" s="1153">
        <f>N435</f>
        <v>0</v>
      </c>
      <c r="O431" s="1153"/>
      <c r="P431" s="1153"/>
      <c r="Q431" s="1153"/>
      <c r="R431" s="1153"/>
      <c r="S431" s="1153"/>
      <c r="T431" s="1153">
        <f>T435</f>
        <v>0</v>
      </c>
      <c r="U431" s="1154"/>
      <c r="V431" s="1145">
        <f t="shared" ref="V431:V444" si="121">M431+E431</f>
        <v>0</v>
      </c>
    </row>
    <row r="432" spans="1:22" s="1166" customFormat="1" ht="63.75" hidden="1" customHeight="1" x14ac:dyDescent="0.25">
      <c r="A432" s="1150"/>
      <c r="B432" s="1151"/>
      <c r="C432" s="1151"/>
      <c r="D432" s="1186" t="s">
        <v>1372</v>
      </c>
      <c r="E432" s="1161">
        <f t="shared" ref="E432:E444" si="122">F432+L432</f>
        <v>0</v>
      </c>
      <c r="F432" s="1163">
        <f t="shared" ref="F432:F443" si="123">SUM(G432:K432)</f>
        <v>0</v>
      </c>
      <c r="G432" s="1163"/>
      <c r="H432" s="1163"/>
      <c r="I432" s="1163"/>
      <c r="J432" s="1163"/>
      <c r="K432" s="1163"/>
      <c r="L432" s="1153"/>
      <c r="M432" s="1145"/>
      <c r="N432" s="1153"/>
      <c r="O432" s="1153"/>
      <c r="P432" s="1153"/>
      <c r="Q432" s="1153"/>
      <c r="R432" s="1153"/>
      <c r="S432" s="1153"/>
      <c r="T432" s="1153"/>
      <c r="U432" s="1154"/>
      <c r="V432" s="1161">
        <f t="shared" si="121"/>
        <v>0</v>
      </c>
    </row>
    <row r="433" spans="1:22" s="1166" customFormat="1" ht="32.4" hidden="1" customHeight="1" x14ac:dyDescent="0.25">
      <c r="A433" s="1150"/>
      <c r="B433" s="1151"/>
      <c r="C433" s="1151"/>
      <c r="D433" s="1186" t="s">
        <v>1399</v>
      </c>
      <c r="E433" s="1161">
        <f t="shared" si="122"/>
        <v>0</v>
      </c>
      <c r="F433" s="1163">
        <f t="shared" si="123"/>
        <v>0</v>
      </c>
      <c r="G433" s="1163"/>
      <c r="H433" s="1163"/>
      <c r="I433" s="1163"/>
      <c r="J433" s="1163"/>
      <c r="K433" s="1163"/>
      <c r="L433" s="1153"/>
      <c r="M433" s="1145"/>
      <c r="N433" s="1153"/>
      <c r="O433" s="1153"/>
      <c r="P433" s="1153"/>
      <c r="Q433" s="1153"/>
      <c r="R433" s="1153"/>
      <c r="S433" s="1153"/>
      <c r="T433" s="1153"/>
      <c r="U433" s="1154"/>
      <c r="V433" s="1161">
        <f t="shared" si="121"/>
        <v>0</v>
      </c>
    </row>
    <row r="434" spans="1:22" s="1166" customFormat="1" ht="32.4" hidden="1" customHeight="1" x14ac:dyDescent="0.25">
      <c r="A434" s="1150"/>
      <c r="B434" s="1151"/>
      <c r="C434" s="1151"/>
      <c r="D434" s="1186" t="s">
        <v>1400</v>
      </c>
      <c r="E434" s="1161">
        <f t="shared" si="122"/>
        <v>0</v>
      </c>
      <c r="F434" s="1163">
        <f t="shared" si="123"/>
        <v>0</v>
      </c>
      <c r="G434" s="1163"/>
      <c r="H434" s="1163"/>
      <c r="I434" s="1163"/>
      <c r="J434" s="1163"/>
      <c r="K434" s="1163"/>
      <c r="L434" s="1153"/>
      <c r="M434" s="1145"/>
      <c r="N434" s="1153"/>
      <c r="O434" s="1153"/>
      <c r="P434" s="1153"/>
      <c r="Q434" s="1153"/>
      <c r="R434" s="1153"/>
      <c r="S434" s="1153"/>
      <c r="T434" s="1153"/>
      <c r="U434" s="1154"/>
      <c r="V434" s="1161">
        <f t="shared" si="121"/>
        <v>0</v>
      </c>
    </row>
    <row r="435" spans="1:22" s="1166" customFormat="1" ht="46.2" hidden="1" customHeight="1" x14ac:dyDescent="0.25">
      <c r="A435" s="1150"/>
      <c r="B435" s="1151"/>
      <c r="C435" s="1151"/>
      <c r="D435" s="1186" t="s">
        <v>1401</v>
      </c>
      <c r="E435" s="1161">
        <f t="shared" si="122"/>
        <v>0</v>
      </c>
      <c r="F435" s="1163">
        <f t="shared" si="123"/>
        <v>0</v>
      </c>
      <c r="G435" s="1163"/>
      <c r="H435" s="1163"/>
      <c r="I435" s="1163"/>
      <c r="J435" s="1163"/>
      <c r="K435" s="1163"/>
      <c r="L435" s="1153"/>
      <c r="M435" s="1145">
        <f>T435</f>
        <v>0</v>
      </c>
      <c r="N435" s="1153">
        <f>T435</f>
        <v>0</v>
      </c>
      <c r="O435" s="1153"/>
      <c r="P435" s="1153"/>
      <c r="Q435" s="1153"/>
      <c r="R435" s="1153"/>
      <c r="S435" s="1153"/>
      <c r="T435" s="1153"/>
      <c r="U435" s="1154"/>
      <c r="V435" s="1145">
        <f t="shared" si="121"/>
        <v>0</v>
      </c>
    </row>
    <row r="436" spans="1:22" ht="16.2" hidden="1" x14ac:dyDescent="0.25">
      <c r="A436" s="1150" t="s">
        <v>1402</v>
      </c>
      <c r="B436" s="1169">
        <v>7330</v>
      </c>
      <c r="C436" s="1151" t="s">
        <v>1023</v>
      </c>
      <c r="D436" s="1242" t="s">
        <v>427</v>
      </c>
      <c r="E436" s="1161">
        <f t="shared" si="122"/>
        <v>0</v>
      </c>
      <c r="F436" s="1153"/>
      <c r="G436" s="1153"/>
      <c r="H436" s="1153"/>
      <c r="I436" s="1153"/>
      <c r="J436" s="1153"/>
      <c r="K436" s="1153"/>
      <c r="L436" s="1153"/>
      <c r="M436" s="1145">
        <f>T436</f>
        <v>0</v>
      </c>
      <c r="N436" s="1153">
        <f>T436</f>
        <v>0</v>
      </c>
      <c r="O436" s="1153"/>
      <c r="P436" s="1153"/>
      <c r="Q436" s="1153"/>
      <c r="R436" s="1153"/>
      <c r="S436" s="1153"/>
      <c r="T436" s="1153"/>
      <c r="U436" s="1154"/>
      <c r="V436" s="1145">
        <f t="shared" si="121"/>
        <v>0</v>
      </c>
    </row>
    <row r="437" spans="1:22" ht="36" customHeight="1" x14ac:dyDescent="0.25">
      <c r="A437" s="1150" t="s">
        <v>1403</v>
      </c>
      <c r="B437" s="1169">
        <v>7680</v>
      </c>
      <c r="C437" s="1151" t="s">
        <v>1038</v>
      </c>
      <c r="D437" s="1152" t="s">
        <v>461</v>
      </c>
      <c r="E437" s="1145">
        <f>E438</f>
        <v>397707</v>
      </c>
      <c r="F437" s="1153">
        <f>F438</f>
        <v>397707</v>
      </c>
      <c r="G437" s="1153">
        <f t="shared" ref="G437:L437" si="124">G438</f>
        <v>0</v>
      </c>
      <c r="H437" s="1153">
        <f t="shared" si="124"/>
        <v>0</v>
      </c>
      <c r="I437" s="1153">
        <f t="shared" si="124"/>
        <v>0</v>
      </c>
      <c r="J437" s="1153">
        <f t="shared" si="124"/>
        <v>0</v>
      </c>
      <c r="K437" s="1153">
        <f>370700+27007</f>
        <v>397707</v>
      </c>
      <c r="L437" s="1153">
        <f t="shared" si="124"/>
        <v>0</v>
      </c>
      <c r="M437" s="1145">
        <f>O437+T437</f>
        <v>0</v>
      </c>
      <c r="N437" s="1153">
        <f>SUM(N438:N438)</f>
        <v>0</v>
      </c>
      <c r="O437" s="1153"/>
      <c r="P437" s="1153"/>
      <c r="Q437" s="1153"/>
      <c r="R437" s="1153"/>
      <c r="S437" s="1153"/>
      <c r="T437" s="1153">
        <f>SUM(T438:T438)</f>
        <v>0</v>
      </c>
      <c r="U437" s="1154"/>
      <c r="V437" s="1145">
        <f>E437+M437</f>
        <v>397707</v>
      </c>
    </row>
    <row r="438" spans="1:22" s="1166" customFormat="1" ht="61.5" hidden="1" customHeight="1" x14ac:dyDescent="0.25">
      <c r="A438" s="1150"/>
      <c r="B438" s="1158"/>
      <c r="C438" s="1168" t="s">
        <v>1371</v>
      </c>
      <c r="D438" s="1186" t="s">
        <v>1388</v>
      </c>
      <c r="E438" s="1161">
        <f>F438</f>
        <v>397707</v>
      </c>
      <c r="F438" s="1163">
        <f>SUM(G437:K437)</f>
        <v>397707</v>
      </c>
      <c r="G438" s="1163"/>
      <c r="H438" s="1163"/>
      <c r="I438" s="1163"/>
      <c r="J438" s="1163"/>
      <c r="K438" s="1163">
        <f>327258+323533</f>
        <v>650791</v>
      </c>
      <c r="L438" s="1163"/>
      <c r="M438" s="1145"/>
      <c r="N438" s="1163"/>
      <c r="O438" s="1163"/>
      <c r="P438" s="1163"/>
      <c r="Q438" s="1163"/>
      <c r="R438" s="1163"/>
      <c r="S438" s="1163"/>
      <c r="T438" s="1163"/>
      <c r="U438" s="1165"/>
      <c r="V438" s="1161">
        <f>E438+M438</f>
        <v>397707</v>
      </c>
    </row>
    <row r="439" spans="1:22" s="1166" customFormat="1" ht="33" hidden="1" customHeight="1" x14ac:dyDescent="0.25">
      <c r="A439" s="1150" t="s">
        <v>1404</v>
      </c>
      <c r="B439" s="1169">
        <v>8220</v>
      </c>
      <c r="C439" s="1151" t="s">
        <v>1288</v>
      </c>
      <c r="D439" s="1242" t="s">
        <v>475</v>
      </c>
      <c r="E439" s="1145">
        <f t="shared" si="122"/>
        <v>0</v>
      </c>
      <c r="F439" s="1153">
        <f>SUM(G439:K439)</f>
        <v>0</v>
      </c>
      <c r="G439" s="1153"/>
      <c r="H439" s="1153"/>
      <c r="I439" s="1153"/>
      <c r="J439" s="1153"/>
      <c r="K439" s="1153"/>
      <c r="L439" s="1153"/>
      <c r="M439" s="1145"/>
      <c r="N439" s="1153"/>
      <c r="O439" s="1153"/>
      <c r="P439" s="1153"/>
      <c r="Q439" s="1153"/>
      <c r="R439" s="1153"/>
      <c r="S439" s="1153"/>
      <c r="T439" s="1153"/>
      <c r="U439" s="1154"/>
      <c r="V439" s="1145">
        <f t="shared" si="121"/>
        <v>0</v>
      </c>
    </row>
    <row r="440" spans="1:22" s="1166" customFormat="1" ht="63.75" hidden="1" customHeight="1" x14ac:dyDescent="0.25">
      <c r="A440" s="1150"/>
      <c r="B440" s="1158"/>
      <c r="C440" s="1168"/>
      <c r="D440" s="1186" t="s">
        <v>1405</v>
      </c>
      <c r="E440" s="1161">
        <f t="shared" si="122"/>
        <v>0</v>
      </c>
      <c r="F440" s="1163">
        <f>SUM(G440:K440)</f>
        <v>0</v>
      </c>
      <c r="G440" s="1163"/>
      <c r="H440" s="1163"/>
      <c r="I440" s="1163"/>
      <c r="J440" s="1163"/>
      <c r="K440" s="1163"/>
      <c r="L440" s="1153"/>
      <c r="M440" s="1145"/>
      <c r="N440" s="1153"/>
      <c r="O440" s="1153"/>
      <c r="P440" s="1153"/>
      <c r="Q440" s="1153"/>
      <c r="R440" s="1153"/>
      <c r="S440" s="1153"/>
      <c r="T440" s="1153"/>
      <c r="U440" s="1154"/>
      <c r="V440" s="1145">
        <f t="shared" si="121"/>
        <v>0</v>
      </c>
    </row>
    <row r="441" spans="1:22" s="1166" customFormat="1" ht="15.6" hidden="1" x14ac:dyDescent="0.25">
      <c r="A441" s="1150" t="s">
        <v>1406</v>
      </c>
      <c r="B441" s="1169">
        <v>8230</v>
      </c>
      <c r="C441" s="1151" t="s">
        <v>1288</v>
      </c>
      <c r="D441" s="1242" t="s">
        <v>1392</v>
      </c>
      <c r="E441" s="1145">
        <f t="shared" si="122"/>
        <v>0</v>
      </c>
      <c r="F441" s="1153">
        <f t="shared" si="123"/>
        <v>0</v>
      </c>
      <c r="G441" s="1153"/>
      <c r="H441" s="1153"/>
      <c r="I441" s="1153"/>
      <c r="J441" s="1153"/>
      <c r="K441" s="1153"/>
      <c r="L441" s="1153"/>
      <c r="M441" s="1145"/>
      <c r="N441" s="1153"/>
      <c r="O441" s="1153"/>
      <c r="P441" s="1153"/>
      <c r="Q441" s="1153"/>
      <c r="R441" s="1153"/>
      <c r="S441" s="1153"/>
      <c r="T441" s="1153"/>
      <c r="U441" s="1154"/>
      <c r="V441" s="1145">
        <f t="shared" si="121"/>
        <v>0</v>
      </c>
    </row>
    <row r="442" spans="1:22" s="1166" customFormat="1" ht="30.6" hidden="1" customHeight="1" x14ac:dyDescent="0.25">
      <c r="A442" s="1150"/>
      <c r="B442" s="1158"/>
      <c r="C442" s="1168"/>
      <c r="D442" s="1186" t="s">
        <v>1393</v>
      </c>
      <c r="E442" s="1161">
        <f t="shared" si="122"/>
        <v>0</v>
      </c>
      <c r="F442" s="1163">
        <f t="shared" si="123"/>
        <v>0</v>
      </c>
      <c r="G442" s="1153"/>
      <c r="H442" s="1153"/>
      <c r="I442" s="1153"/>
      <c r="J442" s="1153"/>
      <c r="K442" s="1153"/>
      <c r="L442" s="1153"/>
      <c r="M442" s="1145"/>
      <c r="N442" s="1153"/>
      <c r="O442" s="1153"/>
      <c r="P442" s="1153"/>
      <c r="Q442" s="1153"/>
      <c r="R442" s="1153"/>
      <c r="S442" s="1153"/>
      <c r="T442" s="1153"/>
      <c r="U442" s="1154"/>
      <c r="V442" s="1145">
        <f t="shared" si="121"/>
        <v>0</v>
      </c>
    </row>
    <row r="443" spans="1:22" s="1166" customFormat="1" ht="15.6" hidden="1" x14ac:dyDescent="0.25">
      <c r="A443" s="1150" t="s">
        <v>1407</v>
      </c>
      <c r="B443" s="1169">
        <v>8420</v>
      </c>
      <c r="C443" s="1151" t="s">
        <v>1053</v>
      </c>
      <c r="D443" s="1176" t="s">
        <v>1054</v>
      </c>
      <c r="E443" s="1145">
        <f t="shared" si="122"/>
        <v>0</v>
      </c>
      <c r="F443" s="1153">
        <f t="shared" si="123"/>
        <v>0</v>
      </c>
      <c r="G443" s="1153"/>
      <c r="H443" s="1153"/>
      <c r="I443" s="1153"/>
      <c r="J443" s="1153"/>
      <c r="K443" s="1153"/>
      <c r="L443" s="1153"/>
      <c r="M443" s="1145"/>
      <c r="N443" s="1153"/>
      <c r="O443" s="1153"/>
      <c r="P443" s="1153"/>
      <c r="Q443" s="1153"/>
      <c r="R443" s="1153"/>
      <c r="S443" s="1153"/>
      <c r="T443" s="1153"/>
      <c r="U443" s="1154"/>
      <c r="V443" s="1145">
        <f t="shared" si="121"/>
        <v>0</v>
      </c>
    </row>
    <row r="444" spans="1:22" s="1166" customFormat="1" ht="48" hidden="1" customHeight="1" x14ac:dyDescent="0.25">
      <c r="A444" s="1150"/>
      <c r="B444" s="1169"/>
      <c r="C444" s="1151"/>
      <c r="D444" s="1203" t="s">
        <v>1408</v>
      </c>
      <c r="E444" s="1161">
        <f t="shared" si="122"/>
        <v>0</v>
      </c>
      <c r="F444" s="1163">
        <f>F443</f>
        <v>0</v>
      </c>
      <c r="G444" s="1163"/>
      <c r="H444" s="1163"/>
      <c r="I444" s="1163"/>
      <c r="J444" s="1163"/>
      <c r="K444" s="1163">
        <f>K443</f>
        <v>0</v>
      </c>
      <c r="L444" s="1163"/>
      <c r="M444" s="1161"/>
      <c r="N444" s="1163"/>
      <c r="O444" s="1163"/>
      <c r="P444" s="1163"/>
      <c r="Q444" s="1163"/>
      <c r="R444" s="1163"/>
      <c r="S444" s="1163"/>
      <c r="T444" s="1163"/>
      <c r="U444" s="1165"/>
      <c r="V444" s="1161">
        <f t="shared" si="121"/>
        <v>0</v>
      </c>
    </row>
    <row r="445" spans="1:22" ht="63" hidden="1" customHeight="1" x14ac:dyDescent="0.25">
      <c r="A445" s="1150" t="s">
        <v>1409</v>
      </c>
      <c r="B445" s="1169">
        <v>9800</v>
      </c>
      <c r="C445" s="1151" t="s">
        <v>275</v>
      </c>
      <c r="D445" s="1176" t="s">
        <v>1300</v>
      </c>
      <c r="E445" s="1145">
        <f>F445+L445</f>
        <v>0</v>
      </c>
      <c r="F445" s="1153">
        <f>SUM(G445:K445)</f>
        <v>0</v>
      </c>
      <c r="G445" s="1153"/>
      <c r="H445" s="1153"/>
      <c r="I445" s="1153"/>
      <c r="J445" s="1153"/>
      <c r="K445" s="1153"/>
      <c r="L445" s="1153"/>
      <c r="M445" s="1145">
        <f>O445+T445</f>
        <v>0</v>
      </c>
      <c r="N445" s="1153">
        <f>T445</f>
        <v>0</v>
      </c>
      <c r="O445" s="1153"/>
      <c r="P445" s="1153"/>
      <c r="Q445" s="1153"/>
      <c r="R445" s="1153"/>
      <c r="S445" s="1153"/>
      <c r="T445" s="1153"/>
      <c r="U445" s="1154">
        <f>T445</f>
        <v>0</v>
      </c>
      <c r="V445" s="1145">
        <f>M445+E445</f>
        <v>0</v>
      </c>
    </row>
    <row r="446" spans="1:22" s="1147" customFormat="1" ht="15.6" x14ac:dyDescent="0.25">
      <c r="A446" s="1142" t="s">
        <v>1410</v>
      </c>
      <c r="B446" s="1143"/>
      <c r="C446" s="1142"/>
      <c r="D446" s="1144" t="s">
        <v>1411</v>
      </c>
      <c r="E446" s="1145">
        <f t="shared" ref="E446:U446" si="125">E447</f>
        <v>54521896</v>
      </c>
      <c r="F446" s="1145">
        <f t="shared" si="125"/>
        <v>52921896</v>
      </c>
      <c r="G446" s="1145">
        <f t="shared" si="125"/>
        <v>17052952</v>
      </c>
      <c r="H446" s="1145">
        <f t="shared" si="125"/>
        <v>0</v>
      </c>
      <c r="I446" s="1145">
        <f t="shared" si="125"/>
        <v>0</v>
      </c>
      <c r="J446" s="1145">
        <f t="shared" si="125"/>
        <v>18905618</v>
      </c>
      <c r="K446" s="1145">
        <f t="shared" si="125"/>
        <v>16963326</v>
      </c>
      <c r="L446" s="1145">
        <f t="shared" si="125"/>
        <v>1600000</v>
      </c>
      <c r="M446" s="1145">
        <f t="shared" si="125"/>
        <v>333756340</v>
      </c>
      <c r="N446" s="1145">
        <f t="shared" si="125"/>
        <v>333756340</v>
      </c>
      <c r="O446" s="1145">
        <f t="shared" si="125"/>
        <v>0</v>
      </c>
      <c r="P446" s="1145">
        <f t="shared" si="125"/>
        <v>0</v>
      </c>
      <c r="Q446" s="1145">
        <f t="shared" si="125"/>
        <v>0</v>
      </c>
      <c r="R446" s="1145">
        <f t="shared" si="125"/>
        <v>0</v>
      </c>
      <c r="S446" s="1145">
        <f t="shared" si="125"/>
        <v>0</v>
      </c>
      <c r="T446" s="1145">
        <f t="shared" si="125"/>
        <v>333756340</v>
      </c>
      <c r="U446" s="1146">
        <f t="shared" si="125"/>
        <v>197473545</v>
      </c>
      <c r="V446" s="1145">
        <f t="shared" ref="V446:V461" si="126">M446+E446</f>
        <v>388278236</v>
      </c>
    </row>
    <row r="447" spans="1:22" s="1147" customFormat="1" ht="15.6" x14ac:dyDescent="0.25">
      <c r="A447" s="1142" t="s">
        <v>1412</v>
      </c>
      <c r="B447" s="1143"/>
      <c r="C447" s="1142"/>
      <c r="D447" s="1144" t="s">
        <v>1411</v>
      </c>
      <c r="E447" s="1145">
        <f>E448+E450+E462+E458+E455+E461+E454</f>
        <v>54521896</v>
      </c>
      <c r="F447" s="1145">
        <f>F448+F450+F462+F458+F455+F461+F454</f>
        <v>52921896</v>
      </c>
      <c r="G447" s="1145">
        <f>G448+G450+G462+G458+G455</f>
        <v>17052952</v>
      </c>
      <c r="H447" s="1145">
        <f>H448+H450+H462+H458+H455</f>
        <v>0</v>
      </c>
      <c r="I447" s="1145">
        <f>I448+I450+I462+I458+I455+I461</f>
        <v>0</v>
      </c>
      <c r="J447" s="1145">
        <f>J448+J450+J462+J458+J455</f>
        <v>18905618</v>
      </c>
      <c r="K447" s="1145">
        <f>K448+K450+K462+K458+K455+K461+K454</f>
        <v>16963326</v>
      </c>
      <c r="L447" s="1145">
        <f>L448+L450+L462+L458+L455+L461+L454</f>
        <v>1600000</v>
      </c>
      <c r="M447" s="1145">
        <f>M448+M450+M462+M458+M453+M460+M452+M455</f>
        <v>333756340</v>
      </c>
      <c r="N447" s="1145">
        <f>N448+N450+N462+N458+N453+N460+N452+N455</f>
        <v>333756340</v>
      </c>
      <c r="O447" s="1145">
        <f>O448+O450+O462+O458+O453+O460</f>
        <v>0</v>
      </c>
      <c r="P447" s="1145">
        <f>P448+P450+P462+P458+P453+P460</f>
        <v>0</v>
      </c>
      <c r="Q447" s="1145">
        <f>Q448+Q450+Q462+Q458+Q453+Q460</f>
        <v>0</v>
      </c>
      <c r="R447" s="1145">
        <f>R448+R450+R462+R458+R453+R460</f>
        <v>0</v>
      </c>
      <c r="S447" s="1145">
        <f>S448+S450+S462+S458+S453+S460</f>
        <v>0</v>
      </c>
      <c r="T447" s="1145">
        <f>T448+T450+T462+T458+T453+T460+T452+T455</f>
        <v>333756340</v>
      </c>
      <c r="U447" s="1146">
        <f>U448+U450+U462+U458+U453+U460+U452+U455</f>
        <v>197473545</v>
      </c>
      <c r="V447" s="1145">
        <f>M447+E447</f>
        <v>388278236</v>
      </c>
    </row>
    <row r="448" spans="1:22" ht="45.6" customHeight="1" x14ac:dyDescent="0.25">
      <c r="A448" s="1150" t="s">
        <v>1413</v>
      </c>
      <c r="B448" s="1151" t="s">
        <v>273</v>
      </c>
      <c r="C448" s="1151" t="s">
        <v>885</v>
      </c>
      <c r="D448" s="1152" t="s">
        <v>886</v>
      </c>
      <c r="E448" s="1145">
        <f>F448</f>
        <v>50963671</v>
      </c>
      <c r="F448" s="1171">
        <f>SUM(G448:K448)</f>
        <v>50963671</v>
      </c>
      <c r="G448" s="1171">
        <f>16677542+375410</f>
        <v>17052952</v>
      </c>
      <c r="H448" s="1171"/>
      <c r="I448" s="1171"/>
      <c r="J448" s="1171">
        <f>26465+18879153-3302324+3302324</f>
        <v>18905618</v>
      </c>
      <c r="K448" s="1171">
        <f>20281506-16677542-26465+9022208+71524+2333870</f>
        <v>15005101</v>
      </c>
      <c r="L448" s="1181"/>
      <c r="M448" s="1145">
        <f>O448+T448</f>
        <v>0</v>
      </c>
      <c r="N448" s="1153">
        <f>T448</f>
        <v>0</v>
      </c>
      <c r="O448" s="1181"/>
      <c r="P448" s="1181"/>
      <c r="Q448" s="1181"/>
      <c r="R448" s="1181"/>
      <c r="S448" s="1181"/>
      <c r="T448" s="1153"/>
      <c r="U448" s="1154"/>
      <c r="V448" s="1145">
        <f t="shared" si="126"/>
        <v>50963671</v>
      </c>
    </row>
    <row r="449" spans="1:22" s="1166" customFormat="1" ht="49.5" customHeight="1" x14ac:dyDescent="0.25">
      <c r="A449" s="1150"/>
      <c r="B449" s="1158"/>
      <c r="C449" s="1159"/>
      <c r="D449" s="1186" t="s">
        <v>1414</v>
      </c>
      <c r="E449" s="1161">
        <f>F449+L449</f>
        <v>30235231</v>
      </c>
      <c r="F449" s="1163">
        <f>G449+H449+I449+J449+K449</f>
        <v>30235231</v>
      </c>
      <c r="G449" s="1163"/>
      <c r="H449" s="1163"/>
      <c r="I449" s="1163"/>
      <c r="J449" s="1163">
        <v>18879153</v>
      </c>
      <c r="K449" s="1163">
        <f>8990000+32208+2333870</f>
        <v>11356078</v>
      </c>
      <c r="L449" s="1164"/>
      <c r="M449" s="1161">
        <f>T449</f>
        <v>0</v>
      </c>
      <c r="N449" s="1153">
        <f>T449</f>
        <v>0</v>
      </c>
      <c r="O449" s="1164"/>
      <c r="P449" s="1164"/>
      <c r="Q449" s="1164"/>
      <c r="R449" s="1164"/>
      <c r="S449" s="1164"/>
      <c r="T449" s="1163"/>
      <c r="U449" s="1165"/>
      <c r="V449" s="1145">
        <f t="shared" si="126"/>
        <v>30235231</v>
      </c>
    </row>
    <row r="450" spans="1:22" ht="15.6" hidden="1" x14ac:dyDescent="0.25">
      <c r="A450" s="1150" t="s">
        <v>1415</v>
      </c>
      <c r="B450" s="1151" t="s">
        <v>329</v>
      </c>
      <c r="C450" s="1245">
        <v>1050</v>
      </c>
      <c r="D450" s="1242" t="s">
        <v>328</v>
      </c>
      <c r="E450" s="1145">
        <f>F450+L450</f>
        <v>0</v>
      </c>
      <c r="F450" s="1153">
        <f>SUM(G450:K450)</f>
        <v>0</v>
      </c>
      <c r="G450" s="1153">
        <f>G451</f>
        <v>0</v>
      </c>
      <c r="H450" s="1153">
        <f>H451</f>
        <v>0</v>
      </c>
      <c r="I450" s="1153">
        <f>I451</f>
        <v>0</v>
      </c>
      <c r="J450" s="1153"/>
      <c r="K450" s="1153"/>
      <c r="L450" s="1181"/>
      <c r="M450" s="1145"/>
      <c r="N450" s="1153">
        <f t="shared" ref="N450:N455" si="127">T450</f>
        <v>0</v>
      </c>
      <c r="O450" s="1181"/>
      <c r="P450" s="1181"/>
      <c r="Q450" s="1181"/>
      <c r="R450" s="1181"/>
      <c r="S450" s="1181"/>
      <c r="T450" s="1181"/>
      <c r="U450" s="1192"/>
      <c r="V450" s="1145">
        <f t="shared" si="126"/>
        <v>0</v>
      </c>
    </row>
    <row r="451" spans="1:22" s="1166" customFormat="1" ht="33" hidden="1" customHeight="1" x14ac:dyDescent="0.25">
      <c r="A451" s="1159"/>
      <c r="B451" s="1158"/>
      <c r="C451" s="1159"/>
      <c r="D451" s="1160" t="s">
        <v>1204</v>
      </c>
      <c r="E451" s="1161">
        <f>F451+L451</f>
        <v>0</v>
      </c>
      <c r="F451" s="1163">
        <f>SUM(G451:K451)</f>
        <v>0</v>
      </c>
      <c r="G451" s="1163"/>
      <c r="H451" s="1163"/>
      <c r="I451" s="1163"/>
      <c r="J451" s="1163"/>
      <c r="K451" s="1163">
        <f>K450</f>
        <v>0</v>
      </c>
      <c r="L451" s="1164"/>
      <c r="M451" s="1161"/>
      <c r="N451" s="1153">
        <f t="shared" si="127"/>
        <v>0</v>
      </c>
      <c r="O451" s="1164"/>
      <c r="P451" s="1164"/>
      <c r="Q451" s="1164"/>
      <c r="R451" s="1164"/>
      <c r="S451" s="1164"/>
      <c r="T451" s="1162"/>
      <c r="U451" s="1165"/>
      <c r="V451" s="1161">
        <f t="shared" si="126"/>
        <v>0</v>
      </c>
    </row>
    <row r="452" spans="1:22" s="1166" customFormat="1" ht="16.2" hidden="1" x14ac:dyDescent="0.25">
      <c r="A452" s="1150" t="s">
        <v>1416</v>
      </c>
      <c r="B452" s="1151" t="s">
        <v>428</v>
      </c>
      <c r="C452" s="1151" t="s">
        <v>1023</v>
      </c>
      <c r="D452" s="1242" t="s">
        <v>427</v>
      </c>
      <c r="E452" s="1161">
        <f t="shared" ref="E452:E458" si="128">F452+L452</f>
        <v>0</v>
      </c>
      <c r="F452" s="1163">
        <f t="shared" ref="F452:F458" si="129">SUM(G452:K452)</f>
        <v>0</v>
      </c>
      <c r="G452" s="1163"/>
      <c r="H452" s="1163"/>
      <c r="I452" s="1163"/>
      <c r="J452" s="1163"/>
      <c r="K452" s="1163"/>
      <c r="L452" s="1164"/>
      <c r="M452" s="1145">
        <f>O452+T452</f>
        <v>0</v>
      </c>
      <c r="N452" s="1153">
        <f t="shared" si="127"/>
        <v>0</v>
      </c>
      <c r="O452" s="1181"/>
      <c r="P452" s="1181"/>
      <c r="Q452" s="1181"/>
      <c r="R452" s="1181"/>
      <c r="S452" s="1181"/>
      <c r="T452" s="1172"/>
      <c r="U452" s="1154"/>
      <c r="V452" s="1145">
        <f t="shared" si="126"/>
        <v>0</v>
      </c>
    </row>
    <row r="453" spans="1:22" ht="33.6" customHeight="1" x14ac:dyDescent="0.25">
      <c r="A453" s="1150" t="s">
        <v>1417</v>
      </c>
      <c r="B453" s="1169">
        <v>7370</v>
      </c>
      <c r="C453" s="1151" t="s">
        <v>1038</v>
      </c>
      <c r="D453" s="1152" t="s">
        <v>418</v>
      </c>
      <c r="E453" s="1161">
        <f t="shared" si="128"/>
        <v>0</v>
      </c>
      <c r="F453" s="1163">
        <f t="shared" si="129"/>
        <v>0</v>
      </c>
      <c r="G453" s="1153"/>
      <c r="H453" s="1153"/>
      <c r="I453" s="1153"/>
      <c r="J453" s="1153"/>
      <c r="K453" s="1153"/>
      <c r="L453" s="1181"/>
      <c r="M453" s="1145">
        <f>O453+T453</f>
        <v>333756340</v>
      </c>
      <c r="N453" s="1153">
        <f t="shared" si="127"/>
        <v>333756340</v>
      </c>
      <c r="O453" s="1181"/>
      <c r="P453" s="1181"/>
      <c r="Q453" s="1181"/>
      <c r="R453" s="1181"/>
      <c r="S453" s="1181"/>
      <c r="T453" s="1177">
        <f>198299413+20615000-155404439+163107500+143523300-17327700+6199100-11900000-15363238+900000+4669750-3562346</f>
        <v>333756340</v>
      </c>
      <c r="U453" s="1172">
        <f>90334679+143523300-17327700+6199100-11900000-15363238+900000+4669750-3562346</f>
        <v>197473545</v>
      </c>
      <c r="V453" s="1145">
        <f t="shared" si="126"/>
        <v>333756340</v>
      </c>
    </row>
    <row r="454" spans="1:22" ht="30" hidden="1" customHeight="1" x14ac:dyDescent="0.25">
      <c r="A454" s="1150" t="s">
        <v>1418</v>
      </c>
      <c r="B454" s="1169">
        <v>7530</v>
      </c>
      <c r="C454" s="1151" t="s">
        <v>1046</v>
      </c>
      <c r="D454" s="1152" t="s">
        <v>1047</v>
      </c>
      <c r="E454" s="1145">
        <f t="shared" si="128"/>
        <v>0</v>
      </c>
      <c r="F454" s="1153">
        <f t="shared" si="129"/>
        <v>0</v>
      </c>
      <c r="G454" s="1153"/>
      <c r="H454" s="1153"/>
      <c r="I454" s="1153"/>
      <c r="J454" s="1153"/>
      <c r="K454" s="1153"/>
      <c r="L454" s="1153"/>
      <c r="M454" s="1145"/>
      <c r="N454" s="1153">
        <f t="shared" si="127"/>
        <v>0</v>
      </c>
      <c r="O454" s="1181"/>
      <c r="P454" s="1181"/>
      <c r="Q454" s="1181"/>
      <c r="R454" s="1181"/>
      <c r="S454" s="1181"/>
      <c r="T454" s="1172"/>
      <c r="U454" s="1172"/>
      <c r="V454" s="1145">
        <f t="shared" si="126"/>
        <v>0</v>
      </c>
    </row>
    <row r="455" spans="1:22" ht="35.1" customHeight="1" x14ac:dyDescent="0.25">
      <c r="A455" s="1150" t="s">
        <v>1419</v>
      </c>
      <c r="B455" s="1169">
        <v>7610</v>
      </c>
      <c r="C455" s="1151" t="s">
        <v>1420</v>
      </c>
      <c r="D455" s="1152" t="s">
        <v>449</v>
      </c>
      <c r="E455" s="1145">
        <f t="shared" si="128"/>
        <v>3370000</v>
      </c>
      <c r="F455" s="1153">
        <f t="shared" si="129"/>
        <v>1770000</v>
      </c>
      <c r="G455" s="1153"/>
      <c r="H455" s="1153"/>
      <c r="I455" s="1153"/>
      <c r="J455" s="1153"/>
      <c r="K455" s="1153">
        <v>1770000</v>
      </c>
      <c r="L455" s="1153">
        <v>1600000</v>
      </c>
      <c r="M455" s="1145">
        <f t="shared" ref="M455:M460" si="130">O455+T455</f>
        <v>0</v>
      </c>
      <c r="N455" s="1153">
        <f t="shared" si="127"/>
        <v>0</v>
      </c>
      <c r="O455" s="1181"/>
      <c r="P455" s="1181"/>
      <c r="Q455" s="1181"/>
      <c r="R455" s="1181"/>
      <c r="S455" s="1181"/>
      <c r="T455" s="1172"/>
      <c r="U455" s="1180"/>
      <c r="V455" s="1145">
        <f t="shared" si="126"/>
        <v>3370000</v>
      </c>
    </row>
    <row r="456" spans="1:22" ht="41.4" hidden="1" x14ac:dyDescent="0.25">
      <c r="A456" s="1150"/>
      <c r="B456" s="1169"/>
      <c r="C456" s="1151"/>
      <c r="D456" s="1254" t="s">
        <v>1421</v>
      </c>
      <c r="E456" s="1145">
        <f t="shared" si="128"/>
        <v>0</v>
      </c>
      <c r="F456" s="1153">
        <f t="shared" si="129"/>
        <v>0</v>
      </c>
      <c r="G456" s="1153"/>
      <c r="H456" s="1153"/>
      <c r="I456" s="1153"/>
      <c r="J456" s="1153"/>
      <c r="K456" s="1163"/>
      <c r="L456" s="1163"/>
      <c r="M456" s="1145">
        <f t="shared" si="130"/>
        <v>0</v>
      </c>
      <c r="N456" s="1172"/>
      <c r="O456" s="1181"/>
      <c r="P456" s="1181"/>
      <c r="Q456" s="1181"/>
      <c r="R456" s="1181"/>
      <c r="S456" s="1181"/>
      <c r="T456" s="1172"/>
      <c r="U456" s="1180"/>
      <c r="V456" s="1145">
        <f t="shared" si="126"/>
        <v>0</v>
      </c>
    </row>
    <row r="457" spans="1:22" ht="15.6" hidden="1" x14ac:dyDescent="0.25">
      <c r="A457" s="1150"/>
      <c r="B457" s="1169"/>
      <c r="C457" s="1151"/>
      <c r="D457" s="1254"/>
      <c r="E457" s="1145">
        <f t="shared" si="128"/>
        <v>0</v>
      </c>
      <c r="F457" s="1153">
        <f t="shared" si="129"/>
        <v>0</v>
      </c>
      <c r="G457" s="1153"/>
      <c r="H457" s="1153"/>
      <c r="I457" s="1153"/>
      <c r="J457" s="1153"/>
      <c r="K457" s="1163"/>
      <c r="L457" s="1181"/>
      <c r="M457" s="1145">
        <f t="shared" si="130"/>
        <v>0</v>
      </c>
      <c r="N457" s="1172"/>
      <c r="O457" s="1181"/>
      <c r="P457" s="1181"/>
      <c r="Q457" s="1181"/>
      <c r="R457" s="1181"/>
      <c r="S457" s="1181"/>
      <c r="T457" s="1172"/>
      <c r="U457" s="1180"/>
      <c r="V457" s="1145"/>
    </row>
    <row r="458" spans="1:22" ht="15.6" x14ac:dyDescent="0.25">
      <c r="A458" s="1150" t="s">
        <v>1422</v>
      </c>
      <c r="B458" s="1151" t="s">
        <v>454</v>
      </c>
      <c r="C458" s="1151" t="s">
        <v>1044</v>
      </c>
      <c r="D458" s="1170" t="s">
        <v>453</v>
      </c>
      <c r="E458" s="1145">
        <f t="shared" si="128"/>
        <v>188225</v>
      </c>
      <c r="F458" s="1153">
        <f t="shared" si="129"/>
        <v>188225</v>
      </c>
      <c r="G458" s="1153">
        <f>G459</f>
        <v>0</v>
      </c>
      <c r="H458" s="1153">
        <f>H459</f>
        <v>0</v>
      </c>
      <c r="I458" s="1153">
        <f>I459</f>
        <v>0</v>
      </c>
      <c r="J458" s="1153">
        <f>J459</f>
        <v>0</v>
      </c>
      <c r="K458" s="1153">
        <v>188225</v>
      </c>
      <c r="L458" s="1181"/>
      <c r="M458" s="1145">
        <f t="shared" si="130"/>
        <v>0</v>
      </c>
      <c r="N458" s="1153"/>
      <c r="O458" s="1181"/>
      <c r="P458" s="1181"/>
      <c r="Q458" s="1181"/>
      <c r="R458" s="1181"/>
      <c r="S458" s="1181"/>
      <c r="T458" s="1153"/>
      <c r="U458" s="1154"/>
      <c r="V458" s="1145">
        <f t="shared" si="126"/>
        <v>188225</v>
      </c>
    </row>
    <row r="459" spans="1:22" s="1166" customFormat="1" ht="41.4" hidden="1" x14ac:dyDescent="0.25">
      <c r="A459" s="1150"/>
      <c r="B459" s="1158"/>
      <c r="C459" s="1159"/>
      <c r="D459" s="1198" t="s">
        <v>1423</v>
      </c>
      <c r="E459" s="1161">
        <f>F459+L459</f>
        <v>0</v>
      </c>
      <c r="F459" s="1163"/>
      <c r="G459" s="1163"/>
      <c r="H459" s="1163"/>
      <c r="I459" s="1163"/>
      <c r="J459" s="1163"/>
      <c r="K459" s="1163">
        <f>590000-255000-167642</f>
        <v>167358</v>
      </c>
      <c r="L459" s="1164"/>
      <c r="M459" s="1145">
        <f t="shared" si="130"/>
        <v>0</v>
      </c>
      <c r="N459" s="1162"/>
      <c r="O459" s="1164"/>
      <c r="P459" s="1164"/>
      <c r="Q459" s="1164"/>
      <c r="R459" s="1164"/>
      <c r="S459" s="1164"/>
      <c r="T459" s="1162"/>
      <c r="U459" s="1165"/>
      <c r="V459" s="1145">
        <f t="shared" si="126"/>
        <v>0</v>
      </c>
    </row>
    <row r="460" spans="1:22" s="1166" customFormat="1" ht="31.95" hidden="1" customHeight="1" x14ac:dyDescent="0.25">
      <c r="A460" s="1150" t="s">
        <v>1424</v>
      </c>
      <c r="B460" s="1151" t="s">
        <v>460</v>
      </c>
      <c r="C460" s="1151" t="s">
        <v>1038</v>
      </c>
      <c r="D460" s="1176" t="s">
        <v>1049</v>
      </c>
      <c r="E460" s="1161"/>
      <c r="F460" s="1163"/>
      <c r="G460" s="1163"/>
      <c r="H460" s="1163"/>
      <c r="I460" s="1163"/>
      <c r="J460" s="1163"/>
      <c r="K460" s="1163"/>
      <c r="L460" s="1164"/>
      <c r="M460" s="1145">
        <f t="shared" si="130"/>
        <v>0</v>
      </c>
      <c r="N460" s="1172">
        <f>T460</f>
        <v>0</v>
      </c>
      <c r="O460" s="1181"/>
      <c r="P460" s="1181"/>
      <c r="Q460" s="1181"/>
      <c r="R460" s="1181"/>
      <c r="S460" s="1181"/>
      <c r="T460" s="1172"/>
      <c r="U460" s="1154"/>
      <c r="V460" s="1145">
        <f t="shared" si="126"/>
        <v>0</v>
      </c>
    </row>
    <row r="461" spans="1:22" ht="27.6" hidden="1" customHeight="1" x14ac:dyDescent="0.25">
      <c r="A461" s="1150" t="s">
        <v>1425</v>
      </c>
      <c r="B461" s="1169">
        <v>8775</v>
      </c>
      <c r="C461" s="1151" t="s">
        <v>1319</v>
      </c>
      <c r="D461" s="1197" t="s">
        <v>1426</v>
      </c>
      <c r="E461" s="1145">
        <f>F461+L461</f>
        <v>0</v>
      </c>
      <c r="F461" s="1153">
        <f>SUM(G461:K461)</f>
        <v>0</v>
      </c>
      <c r="G461" s="1153"/>
      <c r="H461" s="1153"/>
      <c r="I461" s="1153"/>
      <c r="J461" s="1153"/>
      <c r="K461" s="1153"/>
      <c r="L461" s="1153"/>
      <c r="M461" s="1178"/>
      <c r="N461" s="1172"/>
      <c r="O461" s="1153"/>
      <c r="P461" s="1153"/>
      <c r="Q461" s="1153"/>
      <c r="R461" s="1153"/>
      <c r="S461" s="1153"/>
      <c r="T461" s="1172"/>
      <c r="U461" s="1154"/>
      <c r="V461" s="1145">
        <f t="shared" si="126"/>
        <v>0</v>
      </c>
    </row>
    <row r="462" spans="1:22" ht="30.6" hidden="1" customHeight="1" x14ac:dyDescent="0.25">
      <c r="A462" s="1150" t="s">
        <v>1427</v>
      </c>
      <c r="B462" s="1151" t="s">
        <v>1428</v>
      </c>
      <c r="C462" s="1151" t="s">
        <v>1038</v>
      </c>
      <c r="D462" s="1152" t="s">
        <v>1429</v>
      </c>
      <c r="E462" s="1145">
        <f>E463</f>
        <v>0</v>
      </c>
      <c r="F462" s="1153">
        <f>F463</f>
        <v>0</v>
      </c>
      <c r="G462" s="1153">
        <f t="shared" ref="G462:L462" si="131">G463</f>
        <v>0</v>
      </c>
      <c r="H462" s="1153">
        <f t="shared" si="131"/>
        <v>0</v>
      </c>
      <c r="I462" s="1153">
        <f t="shared" si="131"/>
        <v>0</v>
      </c>
      <c r="J462" s="1153">
        <f t="shared" si="131"/>
        <v>0</v>
      </c>
      <c r="K462" s="1153">
        <f t="shared" si="131"/>
        <v>0</v>
      </c>
      <c r="L462" s="1153">
        <f t="shared" si="131"/>
        <v>0</v>
      </c>
      <c r="M462" s="1178">
        <f>T462+O462</f>
        <v>0</v>
      </c>
      <c r="N462" s="1153"/>
      <c r="O462" s="1153"/>
      <c r="P462" s="1153"/>
      <c r="Q462" s="1153"/>
      <c r="R462" s="1153"/>
      <c r="S462" s="1153"/>
      <c r="T462" s="1153"/>
      <c r="U462" s="1154"/>
      <c r="V462" s="1145">
        <f>M462+E462</f>
        <v>0</v>
      </c>
    </row>
    <row r="463" spans="1:22" s="1166" customFormat="1" ht="48.6" hidden="1" customHeight="1" x14ac:dyDescent="0.25">
      <c r="A463" s="1150"/>
      <c r="B463" s="1158"/>
      <c r="C463" s="1159"/>
      <c r="D463" s="1160" t="s">
        <v>1430</v>
      </c>
      <c r="E463" s="1161">
        <f>F463+L463</f>
        <v>0</v>
      </c>
      <c r="F463" s="1163">
        <f>SUM(G463:L463)</f>
        <v>0</v>
      </c>
      <c r="G463" s="1163"/>
      <c r="H463" s="1163"/>
      <c r="I463" s="1163"/>
      <c r="J463" s="1163"/>
      <c r="K463" s="1163"/>
      <c r="L463" s="1164"/>
      <c r="M463" s="1161">
        <f>T463</f>
        <v>0</v>
      </c>
      <c r="N463" s="1162"/>
      <c r="O463" s="1164"/>
      <c r="P463" s="1164"/>
      <c r="Q463" s="1164"/>
      <c r="R463" s="1164"/>
      <c r="S463" s="1164"/>
      <c r="T463" s="1162"/>
      <c r="U463" s="1165"/>
      <c r="V463" s="1145">
        <f>M463+E463</f>
        <v>0</v>
      </c>
    </row>
    <row r="464" spans="1:22" s="1166" customFormat="1" ht="110.4" hidden="1" customHeight="1" x14ac:dyDescent="0.25">
      <c r="A464" s="1150"/>
      <c r="B464" s="1158"/>
      <c r="C464" s="1159"/>
      <c r="D464" s="1160" t="s">
        <v>1431</v>
      </c>
      <c r="E464" s="1161"/>
      <c r="F464" s="1163"/>
      <c r="G464" s="1163"/>
      <c r="H464" s="1163"/>
      <c r="I464" s="1163"/>
      <c r="J464" s="1163"/>
      <c r="K464" s="1163"/>
      <c r="L464" s="1164"/>
      <c r="M464" s="1161">
        <f>T464</f>
        <v>0</v>
      </c>
      <c r="N464" s="1162">
        <f>T464</f>
        <v>0</v>
      </c>
      <c r="O464" s="1164"/>
      <c r="P464" s="1164"/>
      <c r="Q464" s="1164"/>
      <c r="R464" s="1164"/>
      <c r="S464" s="1164"/>
      <c r="T464" s="1162"/>
      <c r="U464" s="1165"/>
      <c r="V464" s="1161">
        <f>M464+E464</f>
        <v>0</v>
      </c>
    </row>
    <row r="465" spans="1:22" s="1166" customFormat="1" ht="21.6" customHeight="1" x14ac:dyDescent="0.25">
      <c r="A465" s="1142" t="s">
        <v>1432</v>
      </c>
      <c r="B465" s="1143"/>
      <c r="C465" s="1143"/>
      <c r="D465" s="1144" t="s">
        <v>1433</v>
      </c>
      <c r="E465" s="1145">
        <f t="shared" ref="E465:T466" si="132">E466</f>
        <v>322418234</v>
      </c>
      <c r="F465" s="1145">
        <f t="shared" si="132"/>
        <v>322418234</v>
      </c>
      <c r="G465" s="1145">
        <f t="shared" si="132"/>
        <v>12597883</v>
      </c>
      <c r="H465" s="1145">
        <f t="shared" si="132"/>
        <v>0</v>
      </c>
      <c r="I465" s="1145">
        <f t="shared" si="132"/>
        <v>0</v>
      </c>
      <c r="J465" s="1145">
        <f t="shared" si="132"/>
        <v>131000</v>
      </c>
      <c r="K465" s="1145">
        <f t="shared" si="132"/>
        <v>309689351</v>
      </c>
      <c r="L465" s="1145">
        <f t="shared" si="132"/>
        <v>0</v>
      </c>
      <c r="M465" s="1145">
        <f t="shared" si="132"/>
        <v>0</v>
      </c>
      <c r="N465" s="1145">
        <f t="shared" si="132"/>
        <v>0</v>
      </c>
      <c r="O465" s="1145">
        <f t="shared" si="132"/>
        <v>0</v>
      </c>
      <c r="P465" s="1145">
        <f t="shared" si="132"/>
        <v>0</v>
      </c>
      <c r="Q465" s="1145">
        <f t="shared" si="132"/>
        <v>0</v>
      </c>
      <c r="R465" s="1145">
        <f t="shared" si="132"/>
        <v>0</v>
      </c>
      <c r="S465" s="1145">
        <f t="shared" si="132"/>
        <v>0</v>
      </c>
      <c r="T465" s="1145">
        <f t="shared" si="132"/>
        <v>0</v>
      </c>
      <c r="U465" s="1146">
        <f>U466</f>
        <v>0</v>
      </c>
      <c r="V465" s="1145">
        <f>M465+E465</f>
        <v>322418234</v>
      </c>
    </row>
    <row r="466" spans="1:22" s="1166" customFormat="1" ht="24" customHeight="1" x14ac:dyDescent="0.25">
      <c r="A466" s="1142" t="s">
        <v>1434</v>
      </c>
      <c r="B466" s="1143"/>
      <c r="C466" s="1143"/>
      <c r="D466" s="1144" t="s">
        <v>1433</v>
      </c>
      <c r="E466" s="1145">
        <f>E467+E487+E478+E470+E473+E469+E472+E471</f>
        <v>322418234</v>
      </c>
      <c r="F466" s="1145">
        <f>F467+F487+F478+F470+F473+F469+F471+F472</f>
        <v>322418234</v>
      </c>
      <c r="G466" s="1145">
        <f>G467+G487+G478+G470+G473+G469+G471</f>
        <v>12597883</v>
      </c>
      <c r="H466" s="1145">
        <f>H467+H487+H478+H470+H473+H469</f>
        <v>0</v>
      </c>
      <c r="I466" s="1145">
        <f>I467+I487+I478+I470+I473+I469</f>
        <v>0</v>
      </c>
      <c r="J466" s="1145">
        <f>J467+J487+J478+J470+J473+J469</f>
        <v>131000</v>
      </c>
      <c r="K466" s="1145">
        <f>K467+K487+K478+K470+K473+K469+K472+K471</f>
        <v>309689351</v>
      </c>
      <c r="L466" s="1145">
        <f t="shared" si="132"/>
        <v>0</v>
      </c>
      <c r="M466" s="1145">
        <f>M467+M478+M473+M470+M489+M468+M472+M469</f>
        <v>0</v>
      </c>
      <c r="N466" s="1145">
        <f>N467+N478+N473+N470+N489+N468+N472+N469</f>
        <v>0</v>
      </c>
      <c r="O466" s="1145">
        <f>O467+O478+O473+O470</f>
        <v>0</v>
      </c>
      <c r="P466" s="1145">
        <f>P467+P478+P473+P470</f>
        <v>0</v>
      </c>
      <c r="Q466" s="1145">
        <f>Q467+Q478+Q473+Q470</f>
        <v>0</v>
      </c>
      <c r="R466" s="1145">
        <f>R467+R478+R473+R470</f>
        <v>0</v>
      </c>
      <c r="S466" s="1145">
        <f>S467+S478+S473+S470</f>
        <v>0</v>
      </c>
      <c r="T466" s="1145">
        <f>T467+T478+T473+T470+T489+T468+T472+T469</f>
        <v>0</v>
      </c>
      <c r="U466" s="1145">
        <f>U467+U478+U473+U470+U489+U468+U472+U469</f>
        <v>0</v>
      </c>
      <c r="V466" s="1145">
        <f>V467+V487+V470+V478+V473+V489+V469+V468+V471+V472</f>
        <v>322418234</v>
      </c>
    </row>
    <row r="467" spans="1:22" s="1166" customFormat="1" ht="48.6" customHeight="1" x14ac:dyDescent="0.25">
      <c r="A467" s="1150" t="s">
        <v>1435</v>
      </c>
      <c r="B467" s="1151" t="s">
        <v>273</v>
      </c>
      <c r="C467" s="1151" t="s">
        <v>885</v>
      </c>
      <c r="D467" s="1152" t="s">
        <v>886</v>
      </c>
      <c r="E467" s="1145">
        <f>F467</f>
        <v>9251188</v>
      </c>
      <c r="F467" s="1153">
        <f>SUM(G467:K467)</f>
        <v>9251188</v>
      </c>
      <c r="G467" s="1153">
        <f>6555696+1156765</f>
        <v>7712461</v>
      </c>
      <c r="H467" s="1153"/>
      <c r="I467" s="1153"/>
      <c r="J467" s="1153"/>
      <c r="K467" s="1153">
        <f>7857291-6555696+237132</f>
        <v>1538727</v>
      </c>
      <c r="L467" s="1153"/>
      <c r="M467" s="1145">
        <f>O467+T467</f>
        <v>0</v>
      </c>
      <c r="N467" s="1153">
        <f t="shared" ref="N467:N481" si="133">T467</f>
        <v>0</v>
      </c>
      <c r="O467" s="1153"/>
      <c r="P467" s="1153"/>
      <c r="Q467" s="1153"/>
      <c r="R467" s="1153"/>
      <c r="S467" s="1153"/>
      <c r="T467" s="1153"/>
      <c r="U467" s="1154">
        <f>T467</f>
        <v>0</v>
      </c>
      <c r="V467" s="1145">
        <f t="shared" ref="V467:V487" si="134">M467+E467</f>
        <v>9251188</v>
      </c>
    </row>
    <row r="468" spans="1:22" ht="15.6" hidden="1" x14ac:dyDescent="0.25">
      <c r="A468" s="1150" t="s">
        <v>1436</v>
      </c>
      <c r="B468" s="1169">
        <v>7330</v>
      </c>
      <c r="C468" s="1151" t="s">
        <v>1023</v>
      </c>
      <c r="D468" s="1176" t="s">
        <v>427</v>
      </c>
      <c r="E468" s="1145">
        <f>F468</f>
        <v>0</v>
      </c>
      <c r="F468" s="1153"/>
      <c r="G468" s="1153"/>
      <c r="H468" s="1153"/>
      <c r="I468" s="1153"/>
      <c r="J468" s="1153"/>
      <c r="K468" s="1153"/>
      <c r="L468" s="1153"/>
      <c r="M468" s="1145">
        <f>T468</f>
        <v>0</v>
      </c>
      <c r="N468" s="1153">
        <f>T468</f>
        <v>0</v>
      </c>
      <c r="O468" s="1153"/>
      <c r="P468" s="1153"/>
      <c r="Q468" s="1153"/>
      <c r="R468" s="1153"/>
      <c r="S468" s="1153"/>
      <c r="T468" s="1153"/>
      <c r="U468" s="1154">
        <f>T468</f>
        <v>0</v>
      </c>
      <c r="V468" s="1145">
        <f>E468+M468</f>
        <v>0</v>
      </c>
    </row>
    <row r="469" spans="1:22" ht="36.75" customHeight="1" x14ac:dyDescent="0.25">
      <c r="A469" s="1150" t="s">
        <v>1437</v>
      </c>
      <c r="B469" s="1151" t="s">
        <v>470</v>
      </c>
      <c r="C469" s="1151" t="s">
        <v>1109</v>
      </c>
      <c r="D469" s="1152" t="s">
        <v>469</v>
      </c>
      <c r="E469" s="1145">
        <f>F469+L469</f>
        <v>4600000</v>
      </c>
      <c r="F469" s="1153">
        <f>SUM(G469:K469)</f>
        <v>4600000</v>
      </c>
      <c r="G469" s="1153"/>
      <c r="H469" s="1153"/>
      <c r="I469" s="1153"/>
      <c r="J469" s="1153"/>
      <c r="K469" s="1153">
        <v>4600000</v>
      </c>
      <c r="L469" s="1153">
        <f>L470</f>
        <v>0</v>
      </c>
      <c r="M469" s="1145">
        <f>T469</f>
        <v>0</v>
      </c>
      <c r="N469" s="1153">
        <f>T469</f>
        <v>0</v>
      </c>
      <c r="O469" s="1153">
        <f>O473</f>
        <v>0</v>
      </c>
      <c r="P469" s="1153">
        <f>P473</f>
        <v>0</v>
      </c>
      <c r="Q469" s="1153">
        <f>Q473</f>
        <v>0</v>
      </c>
      <c r="R469" s="1153">
        <f>R473</f>
        <v>0</v>
      </c>
      <c r="S469" s="1153">
        <f>S473</f>
        <v>0</v>
      </c>
      <c r="T469" s="1153"/>
      <c r="U469" s="1154">
        <f>T469</f>
        <v>0</v>
      </c>
      <c r="V469" s="1145">
        <f>M469+E469</f>
        <v>4600000</v>
      </c>
    </row>
    <row r="470" spans="1:22" ht="15.75" customHeight="1" x14ac:dyDescent="0.25">
      <c r="A470" s="1150" t="s">
        <v>1438</v>
      </c>
      <c r="B470" s="1151" t="s">
        <v>472</v>
      </c>
      <c r="C470" s="1151" t="s">
        <v>1109</v>
      </c>
      <c r="D470" s="1176" t="s">
        <v>471</v>
      </c>
      <c r="E470" s="1145">
        <f t="shared" ref="E470:E486" si="135">F470+L470</f>
        <v>5004700</v>
      </c>
      <c r="F470" s="1153">
        <f>G470+H470+I470+J470+K470</f>
        <v>5004700</v>
      </c>
      <c r="G470" s="1153">
        <f>4528946-694572-4952</f>
        <v>3829422</v>
      </c>
      <c r="H470" s="1153"/>
      <c r="I470" s="1153"/>
      <c r="J470" s="1153">
        <v>131000</v>
      </c>
      <c r="K470" s="1153">
        <f>344754+694572+4952</f>
        <v>1044278</v>
      </c>
      <c r="L470" s="1153"/>
      <c r="M470" s="1145">
        <f t="shared" ref="M470:M486" si="136">O470+T470</f>
        <v>0</v>
      </c>
      <c r="N470" s="1153">
        <f t="shared" si="133"/>
        <v>0</v>
      </c>
      <c r="O470" s="1153"/>
      <c r="P470" s="1153"/>
      <c r="Q470" s="1181"/>
      <c r="R470" s="1181"/>
      <c r="S470" s="1181"/>
      <c r="T470" s="1153"/>
      <c r="U470" s="1154">
        <f>T470</f>
        <v>0</v>
      </c>
      <c r="V470" s="1145">
        <f t="shared" si="134"/>
        <v>5004700</v>
      </c>
    </row>
    <row r="471" spans="1:22" s="1166" customFormat="1" ht="27.6" x14ac:dyDescent="0.25">
      <c r="A471" s="1150" t="s">
        <v>1439</v>
      </c>
      <c r="B471" s="1169">
        <v>8220</v>
      </c>
      <c r="C471" s="1151" t="s">
        <v>1288</v>
      </c>
      <c r="D471" s="1242" t="s">
        <v>475</v>
      </c>
      <c r="E471" s="1145">
        <f t="shared" si="135"/>
        <v>3562346</v>
      </c>
      <c r="F471" s="1153">
        <f>SUM(G471:K471)</f>
        <v>3562346</v>
      </c>
      <c r="G471" s="1153">
        <v>1056000</v>
      </c>
      <c r="H471" s="1153"/>
      <c r="I471" s="1153"/>
      <c r="J471" s="1153"/>
      <c r="K471" s="1153">
        <v>2506346</v>
      </c>
      <c r="L471" s="1153"/>
      <c r="M471" s="1145"/>
      <c r="N471" s="1153"/>
      <c r="O471" s="1153"/>
      <c r="P471" s="1153"/>
      <c r="Q471" s="1153"/>
      <c r="R471" s="1153"/>
      <c r="S471" s="1153"/>
      <c r="T471" s="1153"/>
      <c r="U471" s="1154"/>
      <c r="V471" s="1145">
        <f t="shared" si="134"/>
        <v>3562346</v>
      </c>
    </row>
    <row r="472" spans="1:22" ht="15.6" hidden="1" x14ac:dyDescent="0.25">
      <c r="A472" s="1150" t="s">
        <v>1440</v>
      </c>
      <c r="B472" s="1151" t="s">
        <v>478</v>
      </c>
      <c r="C472" s="1151" t="s">
        <v>1288</v>
      </c>
      <c r="D472" s="1152" t="s">
        <v>477</v>
      </c>
      <c r="E472" s="1145">
        <f>F472+L472</f>
        <v>0</v>
      </c>
      <c r="F472" s="1153">
        <f>G472+H472+I472+J472+K472</f>
        <v>0</v>
      </c>
      <c r="G472" s="1153"/>
      <c r="H472" s="1153"/>
      <c r="I472" s="1153"/>
      <c r="J472" s="1153"/>
      <c r="K472" s="1153"/>
      <c r="L472" s="1153"/>
      <c r="M472" s="1145">
        <f>O472+T472</f>
        <v>0</v>
      </c>
      <c r="N472" s="1153">
        <f>T472</f>
        <v>0</v>
      </c>
      <c r="O472" s="1153"/>
      <c r="P472" s="1153"/>
      <c r="Q472" s="1181"/>
      <c r="R472" s="1181"/>
      <c r="S472" s="1181"/>
      <c r="T472" s="1153"/>
      <c r="U472" s="1154">
        <f>T472</f>
        <v>0</v>
      </c>
      <c r="V472" s="1145">
        <f t="shared" si="134"/>
        <v>0</v>
      </c>
    </row>
    <row r="473" spans="1:22" ht="15.6" x14ac:dyDescent="0.25">
      <c r="A473" s="1150" t="s">
        <v>1441</v>
      </c>
      <c r="B473" s="1151" t="s">
        <v>1296</v>
      </c>
      <c r="C473" s="1151" t="s">
        <v>275</v>
      </c>
      <c r="D473" s="1152" t="s">
        <v>236</v>
      </c>
      <c r="E473" s="1145">
        <f t="shared" si="135"/>
        <v>23787790</v>
      </c>
      <c r="F473" s="1153">
        <f>SUM(G473:K473)</f>
        <v>23787790</v>
      </c>
      <c r="G473" s="1153"/>
      <c r="H473" s="1153"/>
      <c r="I473" s="1153"/>
      <c r="J473" s="1153"/>
      <c r="K473" s="1153">
        <f>SUM(K474:K477)-K476</f>
        <v>23787790</v>
      </c>
      <c r="L473" s="1153"/>
      <c r="M473" s="1145">
        <f t="shared" si="136"/>
        <v>0</v>
      </c>
      <c r="N473" s="1153">
        <f>T473</f>
        <v>0</v>
      </c>
      <c r="O473" s="1153"/>
      <c r="P473" s="1153"/>
      <c r="Q473" s="1181"/>
      <c r="R473" s="1181"/>
      <c r="S473" s="1181"/>
      <c r="T473" s="1153">
        <f>SUM(T474:T477)</f>
        <v>0</v>
      </c>
      <c r="U473" s="1153">
        <f>SUM(U474:U477)</f>
        <v>0</v>
      </c>
      <c r="V473" s="1145">
        <f>M473+E473</f>
        <v>23787790</v>
      </c>
    </row>
    <row r="474" spans="1:22" ht="51.6" hidden="1" customHeight="1" x14ac:dyDescent="0.25">
      <c r="A474" s="1150"/>
      <c r="B474" s="1151"/>
      <c r="C474" s="1151"/>
      <c r="D474" s="1203" t="s">
        <v>1297</v>
      </c>
      <c r="E474" s="1161">
        <f t="shared" si="135"/>
        <v>0</v>
      </c>
      <c r="F474" s="1162">
        <f>SUM(G474:K474)</f>
        <v>0</v>
      </c>
      <c r="G474" s="1163"/>
      <c r="H474" s="1163"/>
      <c r="I474" s="1163"/>
      <c r="J474" s="1163"/>
      <c r="K474" s="1163"/>
      <c r="L474" s="1153"/>
      <c r="M474" s="1161">
        <f t="shared" si="136"/>
        <v>0</v>
      </c>
      <c r="N474" s="1163">
        <f>T474</f>
        <v>0</v>
      </c>
      <c r="O474" s="1163"/>
      <c r="P474" s="1163"/>
      <c r="Q474" s="1164"/>
      <c r="R474" s="1164"/>
      <c r="S474" s="1164"/>
      <c r="T474" s="1163"/>
      <c r="U474" s="1165">
        <f>T474</f>
        <v>0</v>
      </c>
      <c r="V474" s="1161">
        <f t="shared" si="134"/>
        <v>0</v>
      </c>
    </row>
    <row r="475" spans="1:22" ht="40.200000000000003" customHeight="1" x14ac:dyDescent="0.25">
      <c r="A475" s="1150"/>
      <c r="B475" s="1151"/>
      <c r="C475" s="1151"/>
      <c r="D475" s="1203" t="s">
        <v>1442</v>
      </c>
      <c r="E475" s="1161">
        <f>F475+L475</f>
        <v>23787790</v>
      </c>
      <c r="F475" s="1162">
        <f>K475</f>
        <v>23787790</v>
      </c>
      <c r="G475" s="1163"/>
      <c r="H475" s="1163"/>
      <c r="I475" s="1163"/>
      <c r="J475" s="1163"/>
      <c r="K475" s="1163">
        <v>23787790</v>
      </c>
      <c r="L475" s="1153"/>
      <c r="M475" s="1161">
        <f t="shared" si="136"/>
        <v>0</v>
      </c>
      <c r="N475" s="1163">
        <f t="shared" si="133"/>
        <v>0</v>
      </c>
      <c r="O475" s="1163"/>
      <c r="P475" s="1163"/>
      <c r="Q475" s="1164"/>
      <c r="R475" s="1164"/>
      <c r="S475" s="1164"/>
      <c r="T475" s="1163"/>
      <c r="U475" s="1165">
        <f>T475</f>
        <v>0</v>
      </c>
      <c r="V475" s="1161">
        <f t="shared" si="134"/>
        <v>23787790</v>
      </c>
    </row>
    <row r="476" spans="1:22" ht="53.4" hidden="1" customHeight="1" x14ac:dyDescent="0.25">
      <c r="A476" s="1150"/>
      <c r="B476" s="1151"/>
      <c r="C476" s="1151"/>
      <c r="D476" s="1261" t="s">
        <v>1443</v>
      </c>
      <c r="E476" s="1161">
        <f>F476+L476</f>
        <v>0</v>
      </c>
      <c r="F476" s="1162">
        <f>K476</f>
        <v>0</v>
      </c>
      <c r="G476" s="1163"/>
      <c r="H476" s="1163"/>
      <c r="I476" s="1163"/>
      <c r="J476" s="1163"/>
      <c r="K476" s="1163"/>
      <c r="L476" s="1153"/>
      <c r="M476" s="1161"/>
      <c r="N476" s="1163"/>
      <c r="O476" s="1163"/>
      <c r="P476" s="1163"/>
      <c r="Q476" s="1164"/>
      <c r="R476" s="1164"/>
      <c r="S476" s="1164"/>
      <c r="T476" s="1163"/>
      <c r="U476" s="1165"/>
      <c r="V476" s="1161">
        <f t="shared" si="134"/>
        <v>0</v>
      </c>
    </row>
    <row r="477" spans="1:22" ht="41.4" hidden="1" x14ac:dyDescent="0.25">
      <c r="A477" s="1150"/>
      <c r="B477" s="1151"/>
      <c r="C477" s="1151"/>
      <c r="D477" s="1203" t="s">
        <v>1303</v>
      </c>
      <c r="E477" s="1161">
        <f t="shared" si="135"/>
        <v>0</v>
      </c>
      <c r="F477" s="1162">
        <f t="shared" ref="F477:F487" si="137">SUM(G477:K477)</f>
        <v>0</v>
      </c>
      <c r="G477" s="1163"/>
      <c r="H477" s="1163"/>
      <c r="I477" s="1163"/>
      <c r="J477" s="1163"/>
      <c r="K477" s="1163"/>
      <c r="L477" s="1153"/>
      <c r="M477" s="1161">
        <f t="shared" si="136"/>
        <v>0</v>
      </c>
      <c r="N477" s="1163">
        <f t="shared" si="133"/>
        <v>0</v>
      </c>
      <c r="O477" s="1163"/>
      <c r="P477" s="1163"/>
      <c r="Q477" s="1164"/>
      <c r="R477" s="1164"/>
      <c r="S477" s="1164"/>
      <c r="T477" s="1163"/>
      <c r="U477" s="1165">
        <f>T477</f>
        <v>0</v>
      </c>
      <c r="V477" s="1161">
        <f t="shared" si="134"/>
        <v>0</v>
      </c>
    </row>
    <row r="478" spans="1:22" s="1166" customFormat="1" ht="48.6" customHeight="1" x14ac:dyDescent="0.25">
      <c r="A478" s="1150" t="s">
        <v>1444</v>
      </c>
      <c r="B478" s="1151" t="s">
        <v>1299</v>
      </c>
      <c r="C478" s="1151" t="s">
        <v>275</v>
      </c>
      <c r="D478" s="1176" t="s">
        <v>1300</v>
      </c>
      <c r="E478" s="1145">
        <f t="shared" si="135"/>
        <v>276212210</v>
      </c>
      <c r="F478" s="1172">
        <f t="shared" si="137"/>
        <v>276212210</v>
      </c>
      <c r="G478" s="1163"/>
      <c r="H478" s="1163"/>
      <c r="I478" s="1163"/>
      <c r="J478" s="1163"/>
      <c r="K478" s="1153">
        <f>SUM(K479:K486)-K482</f>
        <v>276212210</v>
      </c>
      <c r="L478" s="1153"/>
      <c r="M478" s="1145">
        <f t="shared" si="136"/>
        <v>0</v>
      </c>
      <c r="N478" s="1153">
        <f>T478</f>
        <v>0</v>
      </c>
      <c r="O478" s="1153"/>
      <c r="P478" s="1153"/>
      <c r="Q478" s="1153"/>
      <c r="R478" s="1153"/>
      <c r="S478" s="1153"/>
      <c r="T478" s="1153">
        <f>SUM(T479:T486)-T482</f>
        <v>0</v>
      </c>
      <c r="U478" s="1153">
        <f>SUM(U479:U486)-U482</f>
        <v>0</v>
      </c>
      <c r="V478" s="1145">
        <f>M478+E478</f>
        <v>276212210</v>
      </c>
    </row>
    <row r="479" spans="1:22" s="1166" customFormat="1" ht="46.2" customHeight="1" x14ac:dyDescent="0.25">
      <c r="A479" s="1159"/>
      <c r="B479" s="1168"/>
      <c r="C479" s="1168"/>
      <c r="D479" s="1203" t="s">
        <v>1301</v>
      </c>
      <c r="E479" s="1161">
        <f t="shared" si="135"/>
        <v>5305000</v>
      </c>
      <c r="F479" s="1162">
        <f t="shared" si="137"/>
        <v>5305000</v>
      </c>
      <c r="G479" s="1163"/>
      <c r="H479" s="1163"/>
      <c r="I479" s="1163"/>
      <c r="J479" s="1163"/>
      <c r="K479" s="1163">
        <v>5305000</v>
      </c>
      <c r="L479" s="1163"/>
      <c r="M479" s="1161">
        <f t="shared" si="136"/>
        <v>0</v>
      </c>
      <c r="N479" s="1163">
        <f t="shared" si="133"/>
        <v>0</v>
      </c>
      <c r="O479" s="1163"/>
      <c r="P479" s="1163"/>
      <c r="Q479" s="1163"/>
      <c r="R479" s="1163"/>
      <c r="S479" s="1163"/>
      <c r="T479" s="1163"/>
      <c r="U479" s="1165">
        <f>T479</f>
        <v>0</v>
      </c>
      <c r="V479" s="1161">
        <f t="shared" si="134"/>
        <v>5305000</v>
      </c>
    </row>
    <row r="480" spans="1:22" s="1166" customFormat="1" ht="67.95" hidden="1" customHeight="1" x14ac:dyDescent="0.25">
      <c r="A480" s="1159"/>
      <c r="B480" s="1168"/>
      <c r="C480" s="1168"/>
      <c r="D480" s="1203" t="s">
        <v>1445</v>
      </c>
      <c r="E480" s="1161">
        <f t="shared" si="135"/>
        <v>0</v>
      </c>
      <c r="F480" s="1162">
        <f t="shared" si="137"/>
        <v>0</v>
      </c>
      <c r="G480" s="1163"/>
      <c r="H480" s="1163"/>
      <c r="I480" s="1163"/>
      <c r="J480" s="1163"/>
      <c r="K480" s="1163"/>
      <c r="L480" s="1163"/>
      <c r="M480" s="1161">
        <f t="shared" si="136"/>
        <v>0</v>
      </c>
      <c r="N480" s="1163">
        <f t="shared" si="133"/>
        <v>0</v>
      </c>
      <c r="O480" s="1163"/>
      <c r="P480" s="1163"/>
      <c r="Q480" s="1163"/>
      <c r="R480" s="1163"/>
      <c r="S480" s="1163"/>
      <c r="T480" s="1163"/>
      <c r="U480" s="1163"/>
      <c r="V480" s="1161">
        <f t="shared" si="134"/>
        <v>0</v>
      </c>
    </row>
    <row r="481" spans="1:22" s="1166" customFormat="1" ht="40.200000000000003" customHeight="1" x14ac:dyDescent="0.25">
      <c r="A481" s="1159"/>
      <c r="B481" s="1168"/>
      <c r="C481" s="1168"/>
      <c r="D481" s="1203" t="s">
        <v>1442</v>
      </c>
      <c r="E481" s="1161">
        <f t="shared" si="135"/>
        <v>268907210</v>
      </c>
      <c r="F481" s="1162">
        <f t="shared" si="137"/>
        <v>268907210</v>
      </c>
      <c r="G481" s="1163"/>
      <c r="H481" s="1163"/>
      <c r="I481" s="1163"/>
      <c r="J481" s="1163"/>
      <c r="K481" s="1163">
        <f>268307210+600000</f>
        <v>268907210</v>
      </c>
      <c r="L481" s="1163"/>
      <c r="M481" s="1161">
        <f t="shared" si="136"/>
        <v>0</v>
      </c>
      <c r="N481" s="1163">
        <f t="shared" si="133"/>
        <v>0</v>
      </c>
      <c r="O481" s="1163"/>
      <c r="P481" s="1163"/>
      <c r="Q481" s="1163"/>
      <c r="R481" s="1163"/>
      <c r="S481" s="1163"/>
      <c r="T481" s="1163"/>
      <c r="U481" s="1167"/>
      <c r="V481" s="1161">
        <f t="shared" si="134"/>
        <v>268907210</v>
      </c>
    </row>
    <row r="482" spans="1:22" ht="53.4" hidden="1" customHeight="1" x14ac:dyDescent="0.25">
      <c r="A482" s="1150"/>
      <c r="B482" s="1169"/>
      <c r="C482" s="1228"/>
      <c r="D482" s="1261" t="s">
        <v>1443</v>
      </c>
      <c r="E482" s="1161">
        <f>F482+L482</f>
        <v>0</v>
      </c>
      <c r="F482" s="1162">
        <f t="shared" si="137"/>
        <v>0</v>
      </c>
      <c r="G482" s="1163"/>
      <c r="H482" s="1163"/>
      <c r="I482" s="1163"/>
      <c r="J482" s="1163"/>
      <c r="K482" s="1163"/>
      <c r="L482" s="1153"/>
      <c r="M482" s="1161">
        <f t="shared" si="136"/>
        <v>0</v>
      </c>
      <c r="N482" s="1163">
        <f>T482</f>
        <v>0</v>
      </c>
      <c r="O482" s="1153"/>
      <c r="P482" s="1153"/>
      <c r="Q482" s="1153"/>
      <c r="R482" s="1153"/>
      <c r="S482" s="1153"/>
      <c r="T482" s="1163"/>
      <c r="U482" s="1167"/>
      <c r="V482" s="1161">
        <f>M482+E482</f>
        <v>0</v>
      </c>
    </row>
    <row r="483" spans="1:22" s="1166" customFormat="1" ht="51.6" hidden="1" customHeight="1" x14ac:dyDescent="0.25">
      <c r="A483" s="1159"/>
      <c r="B483" s="1168"/>
      <c r="C483" s="1168"/>
      <c r="D483" s="1203" t="s">
        <v>1446</v>
      </c>
      <c r="E483" s="1161">
        <f t="shared" si="135"/>
        <v>0</v>
      </c>
      <c r="F483" s="1162">
        <f t="shared" si="137"/>
        <v>0</v>
      </c>
      <c r="G483" s="1163"/>
      <c r="H483" s="1163"/>
      <c r="I483" s="1163"/>
      <c r="J483" s="1163"/>
      <c r="K483" s="1163"/>
      <c r="L483" s="1163"/>
      <c r="M483" s="1161">
        <f t="shared" si="136"/>
        <v>0</v>
      </c>
      <c r="N483" s="1163"/>
      <c r="O483" s="1163"/>
      <c r="P483" s="1163"/>
      <c r="Q483" s="1163"/>
      <c r="R483" s="1163"/>
      <c r="S483" s="1163"/>
      <c r="T483" s="1163"/>
      <c r="U483" s="1167"/>
      <c r="V483" s="1161">
        <f t="shared" si="134"/>
        <v>0</v>
      </c>
    </row>
    <row r="484" spans="1:22" s="1166" customFormat="1" ht="51.6" hidden="1" customHeight="1" x14ac:dyDescent="0.25">
      <c r="A484" s="1159"/>
      <c r="B484" s="1168"/>
      <c r="C484" s="1168"/>
      <c r="D484" s="1203" t="s">
        <v>1301</v>
      </c>
      <c r="E484" s="1161">
        <f t="shared" si="135"/>
        <v>0</v>
      </c>
      <c r="F484" s="1162">
        <f t="shared" si="137"/>
        <v>0</v>
      </c>
      <c r="G484" s="1163"/>
      <c r="H484" s="1163"/>
      <c r="I484" s="1163"/>
      <c r="J484" s="1163"/>
      <c r="K484" s="1163"/>
      <c r="L484" s="1163"/>
      <c r="M484" s="1161">
        <f t="shared" si="136"/>
        <v>0</v>
      </c>
      <c r="N484" s="1163">
        <f>T484</f>
        <v>0</v>
      </c>
      <c r="O484" s="1163"/>
      <c r="P484" s="1163"/>
      <c r="Q484" s="1163"/>
      <c r="R484" s="1163"/>
      <c r="S484" s="1163"/>
      <c r="T484" s="1163"/>
      <c r="U484" s="1167">
        <f>T484</f>
        <v>0</v>
      </c>
      <c r="V484" s="1161">
        <f t="shared" si="134"/>
        <v>0</v>
      </c>
    </row>
    <row r="485" spans="1:22" s="1166" customFormat="1" ht="40.200000000000003" customHeight="1" x14ac:dyDescent="0.25">
      <c r="A485" s="1159"/>
      <c r="B485" s="1168"/>
      <c r="C485" s="1168"/>
      <c r="D485" s="1203" t="s">
        <v>1304</v>
      </c>
      <c r="E485" s="1161">
        <f t="shared" si="135"/>
        <v>1000000</v>
      </c>
      <c r="F485" s="1162">
        <f t="shared" si="137"/>
        <v>1000000</v>
      </c>
      <c r="G485" s="1163"/>
      <c r="H485" s="1163"/>
      <c r="I485" s="1163"/>
      <c r="J485" s="1163"/>
      <c r="K485" s="1163">
        <v>1000000</v>
      </c>
      <c r="L485" s="1163"/>
      <c r="M485" s="1161">
        <f t="shared" si="136"/>
        <v>0</v>
      </c>
      <c r="N485" s="1163">
        <f>T485</f>
        <v>0</v>
      </c>
      <c r="O485" s="1163"/>
      <c r="P485" s="1163"/>
      <c r="Q485" s="1163"/>
      <c r="R485" s="1163"/>
      <c r="S485" s="1163"/>
      <c r="T485" s="1163"/>
      <c r="U485" s="1167">
        <f>T485</f>
        <v>0</v>
      </c>
      <c r="V485" s="1161">
        <f t="shared" si="134"/>
        <v>1000000</v>
      </c>
    </row>
    <row r="486" spans="1:22" s="1166" customFormat="1" ht="48.6" customHeight="1" x14ac:dyDescent="0.25">
      <c r="A486" s="1159"/>
      <c r="B486" s="1168"/>
      <c r="C486" s="1168"/>
      <c r="D486" s="1198" t="s">
        <v>1303</v>
      </c>
      <c r="E486" s="1161">
        <f t="shared" si="135"/>
        <v>1000000</v>
      </c>
      <c r="F486" s="1162">
        <f t="shared" si="137"/>
        <v>1000000</v>
      </c>
      <c r="G486" s="1163"/>
      <c r="H486" s="1163"/>
      <c r="I486" s="1163"/>
      <c r="J486" s="1163"/>
      <c r="K486" s="1162">
        <v>1000000</v>
      </c>
      <c r="L486" s="1163"/>
      <c r="M486" s="1161">
        <f t="shared" si="136"/>
        <v>0</v>
      </c>
      <c r="N486" s="1163">
        <f>T486</f>
        <v>0</v>
      </c>
      <c r="O486" s="1163"/>
      <c r="P486" s="1163"/>
      <c r="Q486" s="1163"/>
      <c r="R486" s="1163"/>
      <c r="S486" s="1163"/>
      <c r="T486" s="1162"/>
      <c r="U486" s="1167">
        <f>T486</f>
        <v>0</v>
      </c>
      <c r="V486" s="1161">
        <f t="shared" si="134"/>
        <v>1000000</v>
      </c>
    </row>
    <row r="487" spans="1:22" s="1166" customFormat="1" ht="15.6" hidden="1" x14ac:dyDescent="0.25">
      <c r="A487" s="1150" t="s">
        <v>1447</v>
      </c>
      <c r="B487" s="1151" t="s">
        <v>1448</v>
      </c>
      <c r="C487" s="1151" t="s">
        <v>273</v>
      </c>
      <c r="D487" s="1152" t="s">
        <v>1449</v>
      </c>
      <c r="E487" s="1145">
        <f>F487</f>
        <v>0</v>
      </c>
      <c r="F487" s="1153">
        <f t="shared" si="137"/>
        <v>0</v>
      </c>
      <c r="G487" s="1153"/>
      <c r="H487" s="1153"/>
      <c r="I487" s="1153"/>
      <c r="J487" s="1153"/>
      <c r="K487" s="1153"/>
      <c r="L487" s="1153"/>
      <c r="M487" s="1145"/>
      <c r="N487" s="1153"/>
      <c r="O487" s="1153"/>
      <c r="P487" s="1153"/>
      <c r="Q487" s="1153"/>
      <c r="R487" s="1153"/>
      <c r="S487" s="1153"/>
      <c r="T487" s="1153"/>
      <c r="U487" s="1154"/>
      <c r="V487" s="1145">
        <f t="shared" si="134"/>
        <v>0</v>
      </c>
    </row>
    <row r="488" spans="1:22" s="1166" customFormat="1" ht="16.2" hidden="1" x14ac:dyDescent="0.25">
      <c r="A488" s="1159"/>
      <c r="B488" s="1168"/>
      <c r="C488" s="1168"/>
      <c r="D488" s="1254"/>
      <c r="E488" s="1161">
        <f>E487</f>
        <v>0</v>
      </c>
      <c r="F488" s="1163">
        <f>F487</f>
        <v>0</v>
      </c>
      <c r="G488" s="1163"/>
      <c r="H488" s="1163"/>
      <c r="I488" s="1163"/>
      <c r="J488" s="1163"/>
      <c r="K488" s="1163">
        <f>K487</f>
        <v>0</v>
      </c>
      <c r="L488" s="1163"/>
      <c r="M488" s="1161"/>
      <c r="N488" s="1163"/>
      <c r="O488" s="1163"/>
      <c r="P488" s="1163"/>
      <c r="Q488" s="1163"/>
      <c r="R488" s="1163"/>
      <c r="S488" s="1163"/>
      <c r="T488" s="1163"/>
      <c r="U488" s="1165"/>
      <c r="V488" s="1161">
        <f>V487</f>
        <v>0</v>
      </c>
    </row>
    <row r="489" spans="1:22" s="1166" customFormat="1" ht="96.6" hidden="1" x14ac:dyDescent="0.25">
      <c r="A489" s="1150" t="s">
        <v>1450</v>
      </c>
      <c r="B489" s="1151" t="s">
        <v>1306</v>
      </c>
      <c r="C489" s="1151" t="s">
        <v>275</v>
      </c>
      <c r="D489" s="1176" t="s">
        <v>564</v>
      </c>
      <c r="E489" s="1145">
        <f>F489+L489</f>
        <v>0</v>
      </c>
      <c r="F489" s="1172">
        <f>F490</f>
        <v>0</v>
      </c>
      <c r="G489" s="1163"/>
      <c r="H489" s="1163"/>
      <c r="I489" s="1163"/>
      <c r="J489" s="1163"/>
      <c r="K489" s="1153">
        <f>K490</f>
        <v>0</v>
      </c>
      <c r="L489" s="1153"/>
      <c r="M489" s="1145">
        <f>O489+T489</f>
        <v>0</v>
      </c>
      <c r="N489" s="1154">
        <f>N490</f>
        <v>0</v>
      </c>
      <c r="O489" s="1154">
        <f>SUM(O490:O491)</f>
        <v>0</v>
      </c>
      <c r="P489" s="1154">
        <f>SUM(P490:P491)</f>
        <v>0</v>
      </c>
      <c r="Q489" s="1154">
        <f>SUM(Q490:Q491)</f>
        <v>0</v>
      </c>
      <c r="R489" s="1154">
        <f>SUM(R490:R491)</f>
        <v>0</v>
      </c>
      <c r="S489" s="1154">
        <f>SUM(S490:S491)</f>
        <v>0</v>
      </c>
      <c r="T489" s="1154">
        <f>T490</f>
        <v>0</v>
      </c>
      <c r="U489" s="1154">
        <f>U490</f>
        <v>0</v>
      </c>
      <c r="V489" s="1145">
        <f>V490</f>
        <v>0</v>
      </c>
    </row>
    <row r="490" spans="1:22" s="1166" customFormat="1" ht="27.6" hidden="1" x14ac:dyDescent="0.25">
      <c r="A490" s="1159"/>
      <c r="B490" s="1168"/>
      <c r="C490" s="1168"/>
      <c r="D490" s="1203" t="s">
        <v>1302</v>
      </c>
      <c r="E490" s="1161">
        <f>F490+L490</f>
        <v>0</v>
      </c>
      <c r="F490" s="1162">
        <f>SUM(G490:K490)</f>
        <v>0</v>
      </c>
      <c r="G490" s="1163"/>
      <c r="H490" s="1163"/>
      <c r="I490" s="1163"/>
      <c r="J490" s="1163"/>
      <c r="K490" s="1163">
        <f>79000000-4413000-187000-10000000-4500000-16491000-6200000-5500000-490000-5164631-1000000-3450000-10620816-10983553</f>
        <v>0</v>
      </c>
      <c r="L490" s="1163"/>
      <c r="M490" s="1161">
        <f>O490+T490</f>
        <v>0</v>
      </c>
      <c r="N490" s="1163">
        <f>T490</f>
        <v>0</v>
      </c>
      <c r="O490" s="1163"/>
      <c r="P490" s="1163"/>
      <c r="Q490" s="1163"/>
      <c r="R490" s="1163"/>
      <c r="S490" s="1163"/>
      <c r="T490" s="1163"/>
      <c r="U490" s="1165">
        <f>T490</f>
        <v>0</v>
      </c>
      <c r="V490" s="1161">
        <f>M490+E490</f>
        <v>0</v>
      </c>
    </row>
    <row r="491" spans="1:22" s="1166" customFormat="1" ht="34.200000000000003" customHeight="1" x14ac:dyDescent="0.25">
      <c r="A491" s="1142" t="s">
        <v>1451</v>
      </c>
      <c r="B491" s="1143"/>
      <c r="C491" s="1143"/>
      <c r="D491" s="1144" t="s">
        <v>1452</v>
      </c>
      <c r="E491" s="1145">
        <f>E492</f>
        <v>79141159</v>
      </c>
      <c r="F491" s="1145">
        <f>F492</f>
        <v>79141159</v>
      </c>
      <c r="G491" s="1145">
        <f>G492</f>
        <v>51368095</v>
      </c>
      <c r="H491" s="1262"/>
      <c r="I491" s="1262"/>
      <c r="J491" s="1262"/>
      <c r="K491" s="1263">
        <f>K492</f>
        <v>27773064</v>
      </c>
      <c r="L491" s="1262"/>
      <c r="M491" s="1216">
        <f>M492</f>
        <v>0</v>
      </c>
      <c r="N491" s="1216">
        <f t="shared" ref="N491:U491" si="138">N492</f>
        <v>0</v>
      </c>
      <c r="O491" s="1216">
        <f t="shared" si="138"/>
        <v>0</v>
      </c>
      <c r="P491" s="1216">
        <f t="shared" si="138"/>
        <v>0</v>
      </c>
      <c r="Q491" s="1216">
        <f t="shared" si="138"/>
        <v>0</v>
      </c>
      <c r="R491" s="1216">
        <f t="shared" si="138"/>
        <v>0</v>
      </c>
      <c r="S491" s="1216">
        <f t="shared" si="138"/>
        <v>0</v>
      </c>
      <c r="T491" s="1216">
        <f t="shared" si="138"/>
        <v>0</v>
      </c>
      <c r="U491" s="1217">
        <f t="shared" si="138"/>
        <v>0</v>
      </c>
      <c r="V491" s="1145">
        <f t="shared" ref="V491:V501" si="139">E491+M491</f>
        <v>79141159</v>
      </c>
    </row>
    <row r="492" spans="1:22" s="1147" customFormat="1" ht="33" customHeight="1" x14ac:dyDescent="0.25">
      <c r="A492" s="1142" t="s">
        <v>1453</v>
      </c>
      <c r="B492" s="1143"/>
      <c r="C492" s="1143"/>
      <c r="D492" s="1144" t="s">
        <v>1452</v>
      </c>
      <c r="E492" s="1145">
        <f>E493+E495</f>
        <v>79141159</v>
      </c>
      <c r="F492" s="1145">
        <f>F493+F495</f>
        <v>79141159</v>
      </c>
      <c r="G492" s="1145">
        <f>G493+G495</f>
        <v>51368095</v>
      </c>
      <c r="H492" s="1145">
        <f t="shared" ref="H492:T492" si="140">H493</f>
        <v>0</v>
      </c>
      <c r="I492" s="1145">
        <f t="shared" si="140"/>
        <v>0</v>
      </c>
      <c r="J492" s="1145">
        <f t="shared" si="140"/>
        <v>0</v>
      </c>
      <c r="K492" s="1145">
        <f>K493+K495</f>
        <v>27773064</v>
      </c>
      <c r="L492" s="1145">
        <f t="shared" si="140"/>
        <v>0</v>
      </c>
      <c r="M492" s="1145">
        <f t="shared" si="140"/>
        <v>0</v>
      </c>
      <c r="N492" s="1145">
        <f t="shared" si="140"/>
        <v>0</v>
      </c>
      <c r="O492" s="1145">
        <f t="shared" si="140"/>
        <v>0</v>
      </c>
      <c r="P492" s="1145">
        <f t="shared" si="140"/>
        <v>0</v>
      </c>
      <c r="Q492" s="1145">
        <f t="shared" si="140"/>
        <v>0</v>
      </c>
      <c r="R492" s="1145">
        <f t="shared" si="140"/>
        <v>0</v>
      </c>
      <c r="S492" s="1145">
        <f t="shared" si="140"/>
        <v>0</v>
      </c>
      <c r="T492" s="1145">
        <f t="shared" si="140"/>
        <v>0</v>
      </c>
      <c r="U492" s="1146">
        <f>U493</f>
        <v>0</v>
      </c>
      <c r="V492" s="1145">
        <f t="shared" si="139"/>
        <v>79141159</v>
      </c>
    </row>
    <row r="493" spans="1:22" ht="48.6" customHeight="1" x14ac:dyDescent="0.25">
      <c r="A493" s="1150" t="s">
        <v>1454</v>
      </c>
      <c r="B493" s="1151" t="s">
        <v>273</v>
      </c>
      <c r="C493" s="1151" t="s">
        <v>885</v>
      </c>
      <c r="D493" s="1152" t="s">
        <v>886</v>
      </c>
      <c r="E493" s="1145">
        <f>F493</f>
        <v>64239830</v>
      </c>
      <c r="F493" s="1153">
        <f>SUM(G493:K493)</f>
        <v>64239830</v>
      </c>
      <c r="G493" s="1153">
        <v>51368095</v>
      </c>
      <c r="H493" s="1153"/>
      <c r="I493" s="1153"/>
      <c r="J493" s="1153"/>
      <c r="K493" s="1172">
        <f>63239830-51368095+1000000</f>
        <v>12871735</v>
      </c>
      <c r="L493" s="1153"/>
      <c r="M493" s="1145">
        <f>O493+T493</f>
        <v>0</v>
      </c>
      <c r="N493" s="1172">
        <f>T493</f>
        <v>0</v>
      </c>
      <c r="O493" s="1153"/>
      <c r="P493" s="1153"/>
      <c r="Q493" s="1153"/>
      <c r="R493" s="1153"/>
      <c r="S493" s="1153"/>
      <c r="T493" s="1172"/>
      <c r="U493" s="1180"/>
      <c r="V493" s="1145">
        <f t="shared" si="139"/>
        <v>64239830</v>
      </c>
    </row>
    <row r="494" spans="1:22" ht="37.200000000000003" hidden="1" customHeight="1" x14ac:dyDescent="0.25">
      <c r="A494" s="1150"/>
      <c r="B494" s="1151"/>
      <c r="C494" s="1151"/>
      <c r="D494" s="1254" t="s">
        <v>1455</v>
      </c>
      <c r="E494" s="1145">
        <f>F494</f>
        <v>0</v>
      </c>
      <c r="F494" s="1153">
        <f>SUM(G494:K494)</f>
        <v>0</v>
      </c>
      <c r="G494" s="1153"/>
      <c r="H494" s="1153"/>
      <c r="I494" s="1153"/>
      <c r="J494" s="1153"/>
      <c r="K494" s="1172"/>
      <c r="L494" s="1153"/>
      <c r="M494" s="1145"/>
      <c r="N494" s="1172"/>
      <c r="O494" s="1153"/>
      <c r="P494" s="1153"/>
      <c r="Q494" s="1153"/>
      <c r="R494" s="1153"/>
      <c r="S494" s="1153"/>
      <c r="T494" s="1172"/>
      <c r="U494" s="1180"/>
      <c r="V494" s="1145">
        <f t="shared" si="139"/>
        <v>0</v>
      </c>
    </row>
    <row r="495" spans="1:22" ht="30.6" customHeight="1" x14ac:dyDescent="0.25">
      <c r="A495" s="1150" t="s">
        <v>1456</v>
      </c>
      <c r="B495" s="1151" t="s">
        <v>275</v>
      </c>
      <c r="C495" s="1151" t="s">
        <v>1319</v>
      </c>
      <c r="D495" s="1170" t="s">
        <v>1320</v>
      </c>
      <c r="E495" s="1145">
        <f>F495</f>
        <v>14901329</v>
      </c>
      <c r="F495" s="1153">
        <f>SUM(G495:K495)</f>
        <v>14901329</v>
      </c>
      <c r="G495" s="1153"/>
      <c r="H495" s="1153"/>
      <c r="I495" s="1153"/>
      <c r="J495" s="1153"/>
      <c r="K495" s="1172">
        <f>K496+K497</f>
        <v>14901329</v>
      </c>
      <c r="L495" s="1153"/>
      <c r="M495" s="1145"/>
      <c r="N495" s="1172"/>
      <c r="O495" s="1153"/>
      <c r="P495" s="1153"/>
      <c r="Q495" s="1153"/>
      <c r="R495" s="1153"/>
      <c r="S495" s="1153"/>
      <c r="T495" s="1172"/>
      <c r="U495" s="1180"/>
      <c r="V495" s="1145">
        <f t="shared" si="139"/>
        <v>14901329</v>
      </c>
    </row>
    <row r="496" spans="1:22" ht="31.8" customHeight="1" x14ac:dyDescent="0.25">
      <c r="A496" s="1150"/>
      <c r="B496" s="1151"/>
      <c r="C496" s="1151"/>
      <c r="D496" s="1254" t="s">
        <v>1455</v>
      </c>
      <c r="E496" s="1161">
        <f>F496</f>
        <v>630000</v>
      </c>
      <c r="F496" s="1163">
        <f>K496</f>
        <v>630000</v>
      </c>
      <c r="G496" s="1163"/>
      <c r="H496" s="1163"/>
      <c r="I496" s="1163"/>
      <c r="J496" s="1163"/>
      <c r="K496" s="1162">
        <f>585000+45000</f>
        <v>630000</v>
      </c>
      <c r="L496" s="1153"/>
      <c r="M496" s="1145"/>
      <c r="N496" s="1172"/>
      <c r="O496" s="1153"/>
      <c r="P496" s="1153"/>
      <c r="Q496" s="1153"/>
      <c r="R496" s="1153"/>
      <c r="S496" s="1153"/>
      <c r="T496" s="1172"/>
      <c r="U496" s="1180"/>
      <c r="V496" s="1161">
        <f t="shared" si="139"/>
        <v>630000</v>
      </c>
    </row>
    <row r="497" spans="1:22" s="1166" customFormat="1" ht="59.4" customHeight="1" x14ac:dyDescent="0.25">
      <c r="A497" s="1159"/>
      <c r="B497" s="1168"/>
      <c r="C497" s="1168"/>
      <c r="D497" s="1257" t="s">
        <v>1457</v>
      </c>
      <c r="E497" s="1161">
        <f>F497</f>
        <v>14271329</v>
      </c>
      <c r="F497" s="1163">
        <f>K497</f>
        <v>14271329</v>
      </c>
      <c r="G497" s="1163"/>
      <c r="H497" s="1163"/>
      <c r="I497" s="1163"/>
      <c r="J497" s="1163"/>
      <c r="K497" s="1163">
        <f>7071329+7200000</f>
        <v>14271329</v>
      </c>
      <c r="L497" s="1163"/>
      <c r="M497" s="1161"/>
      <c r="N497" s="1162"/>
      <c r="O497" s="1163"/>
      <c r="P497" s="1163"/>
      <c r="Q497" s="1163"/>
      <c r="R497" s="1163"/>
      <c r="S497" s="1163"/>
      <c r="T497" s="1162"/>
      <c r="U497" s="1167"/>
      <c r="V497" s="1161">
        <f t="shared" si="139"/>
        <v>14271329</v>
      </c>
    </row>
    <row r="498" spans="1:22" s="1166" customFormat="1" ht="34.200000000000003" customHeight="1" x14ac:dyDescent="0.25">
      <c r="A498" s="1142" t="s">
        <v>1458</v>
      </c>
      <c r="B498" s="1143"/>
      <c r="C498" s="1143"/>
      <c r="D498" s="1144" t="s">
        <v>1459</v>
      </c>
      <c r="E498" s="1145">
        <f>E499</f>
        <v>31097587</v>
      </c>
      <c r="F498" s="1145">
        <f>F499</f>
        <v>31097587</v>
      </c>
      <c r="G498" s="1145">
        <f>G499</f>
        <v>25553653</v>
      </c>
      <c r="H498" s="1262"/>
      <c r="I498" s="1262"/>
      <c r="J498" s="1262"/>
      <c r="K498" s="1263">
        <f>K499</f>
        <v>5543934</v>
      </c>
      <c r="L498" s="1262"/>
      <c r="M498" s="1216">
        <f>M499</f>
        <v>0</v>
      </c>
      <c r="N498" s="1216">
        <f t="shared" ref="N498:U498" si="141">N499</f>
        <v>0</v>
      </c>
      <c r="O498" s="1216">
        <f t="shared" si="141"/>
        <v>0</v>
      </c>
      <c r="P498" s="1216">
        <f t="shared" si="141"/>
        <v>0</v>
      </c>
      <c r="Q498" s="1216">
        <f t="shared" si="141"/>
        <v>0</v>
      </c>
      <c r="R498" s="1216">
        <f t="shared" si="141"/>
        <v>0</v>
      </c>
      <c r="S498" s="1216">
        <f t="shared" si="141"/>
        <v>0</v>
      </c>
      <c r="T498" s="1216">
        <f t="shared" si="141"/>
        <v>0</v>
      </c>
      <c r="U498" s="1217">
        <f t="shared" si="141"/>
        <v>0</v>
      </c>
      <c r="V498" s="1145">
        <f t="shared" si="139"/>
        <v>31097587</v>
      </c>
    </row>
    <row r="499" spans="1:22" s="1147" customFormat="1" ht="33" customHeight="1" x14ac:dyDescent="0.25">
      <c r="A499" s="1142" t="s">
        <v>1460</v>
      </c>
      <c r="B499" s="1143"/>
      <c r="C499" s="1143"/>
      <c r="D499" s="1144" t="s">
        <v>1459</v>
      </c>
      <c r="E499" s="1145">
        <f>E500+E501</f>
        <v>31097587</v>
      </c>
      <c r="F499" s="1145">
        <f>F500+F501</f>
        <v>31097587</v>
      </c>
      <c r="G499" s="1145">
        <f>G500+G501</f>
        <v>25553653</v>
      </c>
      <c r="H499" s="1145">
        <f t="shared" ref="H499:U499" si="142">H500</f>
        <v>0</v>
      </c>
      <c r="I499" s="1145">
        <f t="shared" si="142"/>
        <v>0</v>
      </c>
      <c r="J499" s="1145">
        <f t="shared" si="142"/>
        <v>0</v>
      </c>
      <c r="K499" s="1145">
        <f>K500+K501</f>
        <v>5543934</v>
      </c>
      <c r="L499" s="1145">
        <f t="shared" si="142"/>
        <v>0</v>
      </c>
      <c r="M499" s="1145">
        <f t="shared" si="142"/>
        <v>0</v>
      </c>
      <c r="N499" s="1145">
        <f t="shared" si="142"/>
        <v>0</v>
      </c>
      <c r="O499" s="1145">
        <f t="shared" si="142"/>
        <v>0</v>
      </c>
      <c r="P499" s="1145">
        <f t="shared" si="142"/>
        <v>0</v>
      </c>
      <c r="Q499" s="1145">
        <f t="shared" si="142"/>
        <v>0</v>
      </c>
      <c r="R499" s="1145">
        <f t="shared" si="142"/>
        <v>0</v>
      </c>
      <c r="S499" s="1145">
        <f t="shared" si="142"/>
        <v>0</v>
      </c>
      <c r="T499" s="1145">
        <f t="shared" si="142"/>
        <v>0</v>
      </c>
      <c r="U499" s="1146">
        <f t="shared" si="142"/>
        <v>0</v>
      </c>
      <c r="V499" s="1145">
        <f t="shared" si="139"/>
        <v>31097587</v>
      </c>
    </row>
    <row r="500" spans="1:22" ht="48.6" customHeight="1" x14ac:dyDescent="0.25">
      <c r="A500" s="1150" t="s">
        <v>1461</v>
      </c>
      <c r="B500" s="1151" t="s">
        <v>273</v>
      </c>
      <c r="C500" s="1151" t="s">
        <v>885</v>
      </c>
      <c r="D500" s="1152" t="s">
        <v>886</v>
      </c>
      <c r="E500" s="1145">
        <f>F500</f>
        <v>31097587</v>
      </c>
      <c r="F500" s="1153">
        <f>SUM(G500:K500)</f>
        <v>31097587</v>
      </c>
      <c r="G500" s="1153">
        <f>24406670+1146983</f>
        <v>25553653</v>
      </c>
      <c r="H500" s="1153"/>
      <c r="I500" s="1153"/>
      <c r="J500" s="1153"/>
      <c r="K500" s="1153">
        <f>29737265-24406670+213339</f>
        <v>5543934</v>
      </c>
      <c r="L500" s="1153"/>
      <c r="M500" s="1145">
        <f>O500+T500</f>
        <v>0</v>
      </c>
      <c r="N500" s="1172">
        <f>T500</f>
        <v>0</v>
      </c>
      <c r="O500" s="1153"/>
      <c r="P500" s="1153"/>
      <c r="Q500" s="1153"/>
      <c r="R500" s="1153"/>
      <c r="S500" s="1153"/>
      <c r="T500" s="1172"/>
      <c r="U500" s="1180"/>
      <c r="V500" s="1145">
        <f t="shared" si="139"/>
        <v>31097587</v>
      </c>
    </row>
    <row r="501" spans="1:22" ht="30.6" hidden="1" customHeight="1" x14ac:dyDescent="0.25">
      <c r="A501" s="1150" t="s">
        <v>1462</v>
      </c>
      <c r="B501" s="1151" t="s">
        <v>275</v>
      </c>
      <c r="C501" s="1151" t="s">
        <v>1319</v>
      </c>
      <c r="D501" s="1170" t="s">
        <v>1320</v>
      </c>
      <c r="E501" s="1145">
        <f>F501</f>
        <v>0</v>
      </c>
      <c r="F501" s="1153">
        <f>SUM(G501:K501)</f>
        <v>0</v>
      </c>
      <c r="G501" s="1153"/>
      <c r="H501" s="1153"/>
      <c r="I501" s="1153"/>
      <c r="J501" s="1153"/>
      <c r="K501" s="1153"/>
      <c r="L501" s="1153"/>
      <c r="M501" s="1145"/>
      <c r="N501" s="1172"/>
      <c r="O501" s="1153"/>
      <c r="P501" s="1153"/>
      <c r="Q501" s="1153"/>
      <c r="R501" s="1153"/>
      <c r="S501" s="1153"/>
      <c r="T501" s="1172"/>
      <c r="U501" s="1180"/>
      <c r="V501" s="1145">
        <f t="shared" si="139"/>
        <v>0</v>
      </c>
    </row>
    <row r="502" spans="1:22" s="1166" customFormat="1" ht="59.4" hidden="1" customHeight="1" x14ac:dyDescent="0.25">
      <c r="A502" s="1159"/>
      <c r="B502" s="1168"/>
      <c r="C502" s="1168"/>
      <c r="D502" s="1257" t="s">
        <v>1457</v>
      </c>
      <c r="E502" s="1161">
        <f>E501</f>
        <v>0</v>
      </c>
      <c r="F502" s="1163">
        <f>F501</f>
        <v>0</v>
      </c>
      <c r="G502" s="1163"/>
      <c r="H502" s="1163"/>
      <c r="I502" s="1163"/>
      <c r="J502" s="1163"/>
      <c r="K502" s="1163"/>
      <c r="L502" s="1163"/>
      <c r="M502" s="1161"/>
      <c r="N502" s="1162"/>
      <c r="O502" s="1163"/>
      <c r="P502" s="1163"/>
      <c r="Q502" s="1163"/>
      <c r="R502" s="1163"/>
      <c r="S502" s="1163"/>
      <c r="T502" s="1162"/>
      <c r="U502" s="1167"/>
      <c r="V502" s="1161">
        <f>V501</f>
        <v>0</v>
      </c>
    </row>
    <row r="503" spans="1:22" s="1147" customFormat="1" ht="15.6" x14ac:dyDescent="0.25">
      <c r="A503" s="1142" t="s">
        <v>1463</v>
      </c>
      <c r="B503" s="1143"/>
      <c r="C503" s="1143"/>
      <c r="D503" s="1144" t="s">
        <v>1464</v>
      </c>
      <c r="E503" s="1145">
        <f t="shared" ref="E503:U503" si="143">E504</f>
        <v>449685890</v>
      </c>
      <c r="F503" s="1145">
        <f t="shared" si="143"/>
        <v>299685890</v>
      </c>
      <c r="G503" s="1145">
        <f t="shared" si="143"/>
        <v>18311244</v>
      </c>
      <c r="H503" s="1145">
        <f t="shared" si="143"/>
        <v>0</v>
      </c>
      <c r="I503" s="1145">
        <f t="shared" si="143"/>
        <v>0</v>
      </c>
      <c r="J503" s="1145">
        <f t="shared" si="143"/>
        <v>0</v>
      </c>
      <c r="K503" s="1145">
        <f t="shared" si="143"/>
        <v>281374646</v>
      </c>
      <c r="L503" s="1145">
        <f t="shared" si="143"/>
        <v>0</v>
      </c>
      <c r="M503" s="1145">
        <f t="shared" si="143"/>
        <v>0</v>
      </c>
      <c r="N503" s="1145">
        <f t="shared" si="143"/>
        <v>0</v>
      </c>
      <c r="O503" s="1145">
        <f t="shared" si="143"/>
        <v>0</v>
      </c>
      <c r="P503" s="1145">
        <f t="shared" si="143"/>
        <v>0</v>
      </c>
      <c r="Q503" s="1145">
        <f t="shared" si="143"/>
        <v>0</v>
      </c>
      <c r="R503" s="1145">
        <f t="shared" si="143"/>
        <v>0</v>
      </c>
      <c r="S503" s="1145">
        <f t="shared" si="143"/>
        <v>0</v>
      </c>
      <c r="T503" s="1145">
        <f t="shared" si="143"/>
        <v>0</v>
      </c>
      <c r="U503" s="1146">
        <f t="shared" si="143"/>
        <v>0</v>
      </c>
      <c r="V503" s="1145">
        <f t="shared" ref="V503:V513" si="144">M503+E503</f>
        <v>449685890</v>
      </c>
    </row>
    <row r="504" spans="1:22" s="1147" customFormat="1" ht="15.6" x14ac:dyDescent="0.25">
      <c r="A504" s="1142" t="s">
        <v>1465</v>
      </c>
      <c r="B504" s="1143"/>
      <c r="C504" s="1143"/>
      <c r="D504" s="1144" t="s">
        <v>1464</v>
      </c>
      <c r="E504" s="1145">
        <f>E505+E508+E509+E510+E511+E507</f>
        <v>449685890</v>
      </c>
      <c r="F504" s="1145">
        <f>F505+F508+F509+F510+F511+F507</f>
        <v>299685890</v>
      </c>
      <c r="G504" s="1145">
        <f>G505+G508+G509+G510</f>
        <v>18311244</v>
      </c>
      <c r="H504" s="1145">
        <f>H505+H508+H509+H510</f>
        <v>0</v>
      </c>
      <c r="I504" s="1145">
        <f>I505+I508+I509+I510</f>
        <v>0</v>
      </c>
      <c r="J504" s="1145">
        <f>J505+J508+J509+J510</f>
        <v>0</v>
      </c>
      <c r="K504" s="1145">
        <f>K505+K508+K509+K510+K511+K507</f>
        <v>281374646</v>
      </c>
      <c r="L504" s="1145">
        <f>L505+L508+L509+L510</f>
        <v>0</v>
      </c>
      <c r="M504" s="1145">
        <f>M505+M508+M509+M510+M507+M511</f>
        <v>0</v>
      </c>
      <c r="N504" s="1145">
        <f>N505+N508+N509+N510+N507+N511</f>
        <v>0</v>
      </c>
      <c r="O504" s="1145">
        <f>O505+O508+O509+O510+O507</f>
        <v>0</v>
      </c>
      <c r="P504" s="1145">
        <f>P505+P508+P509+P510+P507</f>
        <v>0</v>
      </c>
      <c r="Q504" s="1145">
        <f>Q505+Q508+Q509+Q510+Q507</f>
        <v>0</v>
      </c>
      <c r="R504" s="1145">
        <f>R505+R508+R509+R510+R507</f>
        <v>0</v>
      </c>
      <c r="S504" s="1145">
        <f>S505+S508+S509+S510+S507</f>
        <v>0</v>
      </c>
      <c r="T504" s="1145">
        <f>T505+T508+T509+T510+T507+T511</f>
        <v>0</v>
      </c>
      <c r="U504" s="1146">
        <f>U505+U508+U509+U510+U507+U511</f>
        <v>0</v>
      </c>
      <c r="V504" s="1145">
        <f t="shared" si="144"/>
        <v>449685890</v>
      </c>
    </row>
    <row r="505" spans="1:22" ht="48.6" customHeight="1" x14ac:dyDescent="0.25">
      <c r="A505" s="1150" t="s">
        <v>1466</v>
      </c>
      <c r="B505" s="1151" t="s">
        <v>273</v>
      </c>
      <c r="C505" s="1151" t="s">
        <v>885</v>
      </c>
      <c r="D505" s="1152" t="s">
        <v>886</v>
      </c>
      <c r="E505" s="1145">
        <f>F505</f>
        <v>22442590</v>
      </c>
      <c r="F505" s="1153">
        <f t="shared" ref="F505:F510" si="145">SUM(G505:L505)</f>
        <v>22442590</v>
      </c>
      <c r="G505" s="1153">
        <v>18311244</v>
      </c>
      <c r="H505" s="1153"/>
      <c r="I505" s="1153"/>
      <c r="J505" s="1153"/>
      <c r="K505" s="1153">
        <f>21912590-18311244+530000</f>
        <v>4131346</v>
      </c>
      <c r="L505" s="1181"/>
      <c r="M505" s="1145">
        <f>O505+T505</f>
        <v>0</v>
      </c>
      <c r="N505" s="1153">
        <f>T505</f>
        <v>0</v>
      </c>
      <c r="O505" s="1181"/>
      <c r="P505" s="1181"/>
      <c r="Q505" s="1181"/>
      <c r="R505" s="1181"/>
      <c r="S505" s="1181"/>
      <c r="T505" s="1153"/>
      <c r="U505" s="1154"/>
      <c r="V505" s="1145">
        <f t="shared" si="144"/>
        <v>22442590</v>
      </c>
    </row>
    <row r="506" spans="1:22" s="1166" customFormat="1" ht="33.6" customHeight="1" x14ac:dyDescent="0.25">
      <c r="A506" s="1159"/>
      <c r="B506" s="1168"/>
      <c r="C506" s="1168"/>
      <c r="D506" s="1160" t="s">
        <v>1467</v>
      </c>
      <c r="E506" s="1161">
        <f>F506</f>
        <v>530000</v>
      </c>
      <c r="F506" s="1163">
        <f>SUM(G506:L506)</f>
        <v>530000</v>
      </c>
      <c r="G506" s="1163"/>
      <c r="H506" s="1163"/>
      <c r="I506" s="1163"/>
      <c r="J506" s="1163"/>
      <c r="K506" s="1163">
        <v>530000</v>
      </c>
      <c r="L506" s="1164"/>
      <c r="M506" s="1161"/>
      <c r="N506" s="1163"/>
      <c r="O506" s="1164"/>
      <c r="P506" s="1164"/>
      <c r="Q506" s="1164"/>
      <c r="R506" s="1164"/>
      <c r="S506" s="1164"/>
      <c r="T506" s="1163"/>
      <c r="U506" s="1165"/>
      <c r="V506" s="1161">
        <f t="shared" si="144"/>
        <v>530000</v>
      </c>
    </row>
    <row r="507" spans="1:22" ht="30" hidden="1" customHeight="1" x14ac:dyDescent="0.25">
      <c r="A507" s="1150" t="s">
        <v>1468</v>
      </c>
      <c r="B507" s="1151" t="s">
        <v>1428</v>
      </c>
      <c r="C507" s="1151" t="s">
        <v>1038</v>
      </c>
      <c r="D507" s="1152" t="s">
        <v>1469</v>
      </c>
      <c r="E507" s="1145">
        <f>F507</f>
        <v>0</v>
      </c>
      <c r="F507" s="1163">
        <f t="shared" si="145"/>
        <v>0</v>
      </c>
      <c r="G507" s="1153"/>
      <c r="H507" s="1153"/>
      <c r="I507" s="1153"/>
      <c r="J507" s="1153"/>
      <c r="K507" s="1153"/>
      <c r="L507" s="1181"/>
      <c r="M507" s="1145">
        <f>O507+T507</f>
        <v>0</v>
      </c>
      <c r="N507" s="1153"/>
      <c r="O507" s="1181"/>
      <c r="P507" s="1181"/>
      <c r="Q507" s="1181"/>
      <c r="R507" s="1181"/>
      <c r="S507" s="1181"/>
      <c r="T507" s="1153"/>
      <c r="U507" s="1154"/>
      <c r="V507" s="1145">
        <f t="shared" si="144"/>
        <v>0</v>
      </c>
    </row>
    <row r="508" spans="1:22" ht="15.6" hidden="1" x14ac:dyDescent="0.25">
      <c r="A508" s="1150" t="s">
        <v>1470</v>
      </c>
      <c r="B508" s="1151" t="s">
        <v>1471</v>
      </c>
      <c r="C508" s="1151" t="s">
        <v>1472</v>
      </c>
      <c r="D508" s="1152" t="s">
        <v>1473</v>
      </c>
      <c r="E508" s="1145">
        <f>F508</f>
        <v>0</v>
      </c>
      <c r="F508" s="1163">
        <f t="shared" si="145"/>
        <v>0</v>
      </c>
      <c r="G508" s="1153"/>
      <c r="H508" s="1153"/>
      <c r="I508" s="1153"/>
      <c r="J508" s="1153"/>
      <c r="K508" s="1153"/>
      <c r="L508" s="1181"/>
      <c r="M508" s="1145"/>
      <c r="N508" s="1181"/>
      <c r="O508" s="1181"/>
      <c r="P508" s="1181"/>
      <c r="Q508" s="1181"/>
      <c r="R508" s="1181"/>
      <c r="S508" s="1181"/>
      <c r="T508" s="1181"/>
      <c r="U508" s="1192"/>
      <c r="V508" s="1145">
        <f t="shared" si="144"/>
        <v>0</v>
      </c>
    </row>
    <row r="509" spans="1:22" ht="16.2" x14ac:dyDescent="0.25">
      <c r="A509" s="1150" t="s">
        <v>1474</v>
      </c>
      <c r="B509" s="1151" t="s">
        <v>1475</v>
      </c>
      <c r="C509" s="1151" t="s">
        <v>1319</v>
      </c>
      <c r="D509" s="1152" t="s">
        <v>1476</v>
      </c>
      <c r="E509" s="1145">
        <f>100000000+50000000</f>
        <v>150000000</v>
      </c>
      <c r="F509" s="1153">
        <f t="shared" si="145"/>
        <v>0</v>
      </c>
      <c r="G509" s="1181"/>
      <c r="H509" s="1181"/>
      <c r="I509" s="1181"/>
      <c r="J509" s="1181"/>
      <c r="K509" s="1181"/>
      <c r="L509" s="1181"/>
      <c r="M509" s="1161"/>
      <c r="N509" s="1181"/>
      <c r="O509" s="1181"/>
      <c r="P509" s="1181"/>
      <c r="Q509" s="1181"/>
      <c r="R509" s="1181"/>
      <c r="S509" s="1181"/>
      <c r="T509" s="1181"/>
      <c r="U509" s="1192"/>
      <c r="V509" s="1145">
        <f t="shared" si="144"/>
        <v>150000000</v>
      </c>
    </row>
    <row r="510" spans="1:22" ht="16.2" x14ac:dyDescent="0.25">
      <c r="A510" s="1150" t="s">
        <v>1477</v>
      </c>
      <c r="B510" s="1151" t="s">
        <v>1478</v>
      </c>
      <c r="C510" s="1151" t="s">
        <v>275</v>
      </c>
      <c r="D510" s="1179" t="s">
        <v>556</v>
      </c>
      <c r="E510" s="1145">
        <f>F510</f>
        <v>277243300</v>
      </c>
      <c r="F510" s="1153">
        <f t="shared" si="145"/>
        <v>277243300</v>
      </c>
      <c r="G510" s="1181"/>
      <c r="H510" s="1181"/>
      <c r="I510" s="1181"/>
      <c r="J510" s="1181"/>
      <c r="K510" s="1153">
        <v>277243300</v>
      </c>
      <c r="L510" s="1181"/>
      <c r="M510" s="1161"/>
      <c r="N510" s="1181"/>
      <c r="O510" s="1181"/>
      <c r="P510" s="1181"/>
      <c r="Q510" s="1181"/>
      <c r="R510" s="1181"/>
      <c r="S510" s="1181"/>
      <c r="T510" s="1181"/>
      <c r="U510" s="1192"/>
      <c r="V510" s="1145">
        <f>M510+E510</f>
        <v>277243300</v>
      </c>
    </row>
    <row r="511" spans="1:22" ht="45.6" hidden="1" customHeight="1" x14ac:dyDescent="0.25">
      <c r="A511" s="1150" t="s">
        <v>1479</v>
      </c>
      <c r="B511" s="1151" t="s">
        <v>1299</v>
      </c>
      <c r="C511" s="1151" t="s">
        <v>275</v>
      </c>
      <c r="D511" s="1179" t="s">
        <v>1300</v>
      </c>
      <c r="E511" s="1145">
        <f>F511</f>
        <v>0</v>
      </c>
      <c r="F511" s="1153">
        <f>SUM(G511:K511)</f>
        <v>0</v>
      </c>
      <c r="G511" s="1181"/>
      <c r="H511" s="1181"/>
      <c r="I511" s="1181"/>
      <c r="J511" s="1181"/>
      <c r="K511" s="1153"/>
      <c r="L511" s="1181"/>
      <c r="M511" s="1145">
        <f>O511+T511</f>
        <v>0</v>
      </c>
      <c r="N511" s="1153">
        <f>T511</f>
        <v>0</v>
      </c>
      <c r="O511" s="1181"/>
      <c r="P511" s="1181"/>
      <c r="Q511" s="1181"/>
      <c r="R511" s="1181"/>
      <c r="S511" s="1181"/>
      <c r="T511" s="1153"/>
      <c r="U511" s="1154"/>
      <c r="V511" s="1145">
        <f t="shared" si="144"/>
        <v>0</v>
      </c>
    </row>
    <row r="512" spans="1:22" ht="41.4" hidden="1" x14ac:dyDescent="0.25">
      <c r="A512" s="1150"/>
      <c r="B512" s="1151"/>
      <c r="C512" s="1151"/>
      <c r="D512" s="1160" t="s">
        <v>1480</v>
      </c>
      <c r="E512" s="1145">
        <f>F512</f>
        <v>0</v>
      </c>
      <c r="F512" s="1153"/>
      <c r="G512" s="1181"/>
      <c r="H512" s="1181"/>
      <c r="I512" s="1181"/>
      <c r="J512" s="1181"/>
      <c r="K512" s="1153"/>
      <c r="L512" s="1181"/>
      <c r="M512" s="1145"/>
      <c r="N512" s="1153"/>
      <c r="O512" s="1181"/>
      <c r="P512" s="1181"/>
      <c r="Q512" s="1181"/>
      <c r="R512" s="1181"/>
      <c r="S512" s="1181"/>
      <c r="T512" s="1153"/>
      <c r="U512" s="1154"/>
      <c r="V512" s="1145">
        <f t="shared" si="144"/>
        <v>0</v>
      </c>
    </row>
    <row r="513" spans="1:23" s="1269" customFormat="1" ht="15.6" x14ac:dyDescent="0.25">
      <c r="A513" s="1264" t="s">
        <v>853</v>
      </c>
      <c r="B513" s="1265" t="s">
        <v>853</v>
      </c>
      <c r="C513" s="1264" t="s">
        <v>853</v>
      </c>
      <c r="D513" s="1266" t="s">
        <v>1481</v>
      </c>
      <c r="E513" s="1267">
        <f t="shared" ref="E513:U513" si="146">E404+E499+E13+E144+E198+E356+E302+E388+E360+E447+E504+E390+E429+E466+E298+E491</f>
        <v>3710157218</v>
      </c>
      <c r="F513" s="1267">
        <f t="shared" si="146"/>
        <v>3256825300</v>
      </c>
      <c r="G513" s="1267">
        <f t="shared" si="146"/>
        <v>1096241193</v>
      </c>
      <c r="H513" s="1267">
        <f t="shared" si="146"/>
        <v>401677</v>
      </c>
      <c r="I513" s="1267">
        <f t="shared" si="146"/>
        <v>215787331</v>
      </c>
      <c r="J513" s="1267">
        <f t="shared" si="146"/>
        <v>275737264</v>
      </c>
      <c r="K513" s="1267">
        <f t="shared" si="146"/>
        <v>1668657835</v>
      </c>
      <c r="L513" s="1267">
        <f t="shared" si="146"/>
        <v>303331918</v>
      </c>
      <c r="M513" s="1267">
        <f t="shared" si="146"/>
        <v>507356291</v>
      </c>
      <c r="N513" s="1267">
        <f t="shared" si="146"/>
        <v>333756340</v>
      </c>
      <c r="O513" s="1267">
        <f t="shared" si="146"/>
        <v>169215776</v>
      </c>
      <c r="P513" s="1267">
        <f t="shared" si="146"/>
        <v>24364100</v>
      </c>
      <c r="Q513" s="1267">
        <f t="shared" si="146"/>
        <v>57841</v>
      </c>
      <c r="R513" s="1267">
        <f t="shared" si="146"/>
        <v>91079334</v>
      </c>
      <c r="S513" s="1267">
        <f t="shared" si="146"/>
        <v>9242617</v>
      </c>
      <c r="T513" s="1267">
        <f t="shared" si="146"/>
        <v>338140515</v>
      </c>
      <c r="U513" s="1267">
        <f t="shared" si="146"/>
        <v>197473545</v>
      </c>
      <c r="V513" s="1145">
        <f t="shared" si="144"/>
        <v>4217513509</v>
      </c>
      <c r="W513" s="1268">
        <f>T510-U510</f>
        <v>0</v>
      </c>
    </row>
    <row r="514" spans="1:23" s="1278" customFormat="1" ht="15.6" x14ac:dyDescent="0.3">
      <c r="A514" s="1270"/>
      <c r="B514" s="1271"/>
      <c r="C514" s="1272"/>
      <c r="D514" s="1273" t="s">
        <v>1482</v>
      </c>
      <c r="E514" s="1274">
        <f t="shared" ref="E514:L514" si="147">E14+E145+E199+E299+E303+E357+E361+E389+E430+E448+E467+E500+E505+E493+E392</f>
        <v>402683501</v>
      </c>
      <c r="F514" s="1274">
        <f t="shared" si="147"/>
        <v>402683501</v>
      </c>
      <c r="G514" s="1274">
        <f t="shared" si="147"/>
        <v>303920080</v>
      </c>
      <c r="H514" s="1274">
        <f t="shared" si="147"/>
        <v>0</v>
      </c>
      <c r="I514" s="1274">
        <f t="shared" si="147"/>
        <v>0</v>
      </c>
      <c r="J514" s="1274">
        <f t="shared" si="147"/>
        <v>18982818</v>
      </c>
      <c r="K514" s="1274">
        <f t="shared" si="147"/>
        <v>79780603</v>
      </c>
      <c r="L514" s="1274">
        <f t="shared" si="147"/>
        <v>0</v>
      </c>
      <c r="M514" s="1274">
        <f>M14+M145+M199+M299+M303+M357+M361+M389+M430+M448+M467+M500+M505</f>
        <v>0</v>
      </c>
      <c r="N514" s="1275"/>
      <c r="O514" s="1275"/>
      <c r="P514" s="1275"/>
      <c r="Q514" s="1275"/>
      <c r="R514" s="1275"/>
      <c r="S514" s="1275"/>
      <c r="T514" s="1275"/>
      <c r="U514" s="1276">
        <f>дод.2!E22-дод.4!H34-дод.3!U513</f>
        <v>0</v>
      </c>
      <c r="V514" s="1277"/>
    </row>
    <row r="515" spans="1:23" s="1278" customFormat="1" ht="15.6" x14ac:dyDescent="0.3">
      <c r="A515" s="1270"/>
      <c r="B515" s="1271"/>
      <c r="C515" s="1272"/>
      <c r="D515" s="1273" t="s">
        <v>1483</v>
      </c>
      <c r="E515" s="1274">
        <f>E514+E495+E363</f>
        <v>418515830</v>
      </c>
      <c r="F515" s="1274">
        <f t="shared" ref="F515:K515" si="148">F514+F495+F363</f>
        <v>418515830</v>
      </c>
      <c r="G515" s="1274">
        <f t="shared" si="148"/>
        <v>303920080</v>
      </c>
      <c r="H515" s="1274">
        <f t="shared" si="148"/>
        <v>0</v>
      </c>
      <c r="I515" s="1274">
        <f t="shared" si="148"/>
        <v>0</v>
      </c>
      <c r="J515" s="1274">
        <f t="shared" si="148"/>
        <v>18982818</v>
      </c>
      <c r="K515" s="1274">
        <f t="shared" si="148"/>
        <v>95612932</v>
      </c>
      <c r="L515" s="1274"/>
      <c r="M515" s="1275"/>
      <c r="N515" s="1275"/>
      <c r="O515" s="1275"/>
      <c r="P515" s="1275"/>
      <c r="Q515" s="1275"/>
      <c r="R515" s="1275"/>
      <c r="S515" s="1275"/>
      <c r="T515" s="1275"/>
      <c r="U515" s="1275"/>
      <c r="V515" s="1277"/>
    </row>
    <row r="516" spans="1:23" s="1269" customFormat="1" ht="35.4" customHeight="1" x14ac:dyDescent="0.3">
      <c r="A516" s="1279"/>
      <c r="B516" s="1861" t="s">
        <v>681</v>
      </c>
      <c r="C516" s="1861"/>
      <c r="D516" s="1861"/>
      <c r="E516" s="1280"/>
      <c r="F516" s="1281"/>
      <c r="G516" s="1281"/>
      <c r="H516" s="1281"/>
      <c r="I516" s="1281"/>
      <c r="J516" s="1281"/>
      <c r="K516" s="1276"/>
      <c r="L516" s="1276"/>
      <c r="M516" s="1276"/>
      <c r="N516" s="1276"/>
      <c r="O516" s="1276"/>
      <c r="P516" s="1276"/>
      <c r="Q516" s="1276"/>
      <c r="R516" s="1276"/>
      <c r="S516" s="1276"/>
      <c r="T516" s="1276"/>
      <c r="U516" s="1862" t="s">
        <v>682</v>
      </c>
      <c r="V516" s="1862"/>
    </row>
    <row r="517" spans="1:23" s="1289" customFormat="1" ht="36.75" customHeight="1" x14ac:dyDescent="0.35">
      <c r="A517" s="1282"/>
      <c r="B517" s="1282"/>
      <c r="C517" s="1863"/>
      <c r="D517" s="1863"/>
      <c r="E517" s="1283"/>
      <c r="F517" s="1284"/>
      <c r="G517" s="1285"/>
      <c r="H517" s="1284"/>
      <c r="I517" s="1284"/>
      <c r="J517" s="1284"/>
      <c r="K517" s="1286"/>
      <c r="L517" s="1286"/>
      <c r="M517" s="1283"/>
      <c r="N517" s="1283"/>
      <c r="O517" s="1286"/>
      <c r="P517" s="1286"/>
      <c r="Q517" s="1286"/>
      <c r="R517" s="1286"/>
      <c r="S517" s="1286"/>
      <c r="T517" s="1283"/>
      <c r="U517" s="1287"/>
      <c r="V517" s="1288"/>
    </row>
    <row r="518" spans="1:23" ht="13.95" customHeight="1" x14ac:dyDescent="0.25">
      <c r="E518" s="1290">
        <f>E509/E513</f>
        <v>4.0429553570470823E-2</v>
      </c>
      <c r="F518" s="1086"/>
      <c r="G518" s="1086"/>
      <c r="N518" s="1291"/>
      <c r="P518" s="1086"/>
      <c r="T518" s="1291"/>
      <c r="U518" s="1292"/>
      <c r="V518" s="1293"/>
    </row>
    <row r="519" spans="1:23" ht="13.95" customHeight="1" x14ac:dyDescent="0.25">
      <c r="D519" s="1086"/>
      <c r="E519" s="1293"/>
      <c r="N519" s="1291"/>
      <c r="T519" s="1291"/>
      <c r="U519" s="1292"/>
    </row>
    <row r="520" spans="1:23" hidden="1" x14ac:dyDescent="0.25">
      <c r="D520" s="1086"/>
      <c r="M520" s="1293"/>
      <c r="N520" s="1291"/>
      <c r="T520" s="1291"/>
      <c r="U520" s="1292"/>
      <c r="V520" s="1293"/>
    </row>
    <row r="521" spans="1:23" s="1296" customFormat="1" hidden="1" x14ac:dyDescent="0.25">
      <c r="A521" s="1294"/>
      <c r="B521" s="1294"/>
      <c r="C521" s="1294"/>
      <c r="D521" s="1294"/>
      <c r="E521" s="1295">
        <f>SUM(E523:E532)</f>
        <v>2902948058</v>
      </c>
      <c r="F521" s="1295">
        <f t="shared" ref="F521:V521" si="149">SUM(F523:F532)</f>
        <v>2665823560</v>
      </c>
      <c r="G521" s="1295">
        <f t="shared" si="149"/>
        <v>1073143617</v>
      </c>
      <c r="H521" s="1295">
        <f t="shared" si="149"/>
        <v>401677</v>
      </c>
      <c r="I521" s="1295">
        <f t="shared" si="149"/>
        <v>215787331</v>
      </c>
      <c r="J521" s="1295">
        <f t="shared" si="149"/>
        <v>396126861</v>
      </c>
      <c r="K521" s="1295">
        <f t="shared" si="149"/>
        <v>1130364074</v>
      </c>
      <c r="L521" s="1295">
        <f t="shared" si="149"/>
        <v>87124498</v>
      </c>
      <c r="M521" s="1295">
        <f t="shared" si="149"/>
        <v>147119951</v>
      </c>
      <c r="N521" s="1295">
        <f t="shared" si="149"/>
        <v>0</v>
      </c>
      <c r="O521" s="1295">
        <f t="shared" si="149"/>
        <v>146105776</v>
      </c>
      <c r="P521" s="1295">
        <f t="shared" si="149"/>
        <v>24364100</v>
      </c>
      <c r="Q521" s="1295">
        <f t="shared" si="149"/>
        <v>57841</v>
      </c>
      <c r="R521" s="1295">
        <f t="shared" si="149"/>
        <v>91079334</v>
      </c>
      <c r="S521" s="1295">
        <f t="shared" si="149"/>
        <v>9242617</v>
      </c>
      <c r="T521" s="1295">
        <f t="shared" si="149"/>
        <v>1014175</v>
      </c>
      <c r="U521" s="1295">
        <f t="shared" si="149"/>
        <v>0</v>
      </c>
      <c r="V521" s="1295">
        <f t="shared" si="149"/>
        <v>3050068009</v>
      </c>
    </row>
    <row r="522" spans="1:23" hidden="1" x14ac:dyDescent="0.25">
      <c r="E522" s="1293"/>
      <c r="M522" s="1293"/>
      <c r="N522" s="1291"/>
      <c r="T522" s="1086"/>
      <c r="U522" s="1292"/>
    </row>
    <row r="523" spans="1:23" hidden="1" x14ac:dyDescent="0.25">
      <c r="D523" s="1074" t="s">
        <v>260</v>
      </c>
      <c r="E523" s="1293">
        <f t="shared" ref="E523:V523" si="150">E505+E495+E493+E448+E431+E430+E389+E364+E361+E357+E303+E299+E199+E145+E14+E500</f>
        <v>396203721</v>
      </c>
      <c r="F523" s="1293">
        <f t="shared" si="150"/>
        <v>396203721</v>
      </c>
      <c r="G523" s="1293">
        <f t="shared" si="150"/>
        <v>285707926</v>
      </c>
      <c r="H523" s="1293">
        <f t="shared" si="150"/>
        <v>0</v>
      </c>
      <c r="I523" s="1293">
        <f t="shared" si="150"/>
        <v>0</v>
      </c>
      <c r="J523" s="1293">
        <f t="shared" si="150"/>
        <v>18982818</v>
      </c>
      <c r="K523" s="1293">
        <f t="shared" si="150"/>
        <v>91512977</v>
      </c>
      <c r="L523" s="1293">
        <f t="shared" si="150"/>
        <v>0</v>
      </c>
      <c r="M523" s="1293">
        <f t="shared" si="150"/>
        <v>0</v>
      </c>
      <c r="N523" s="1293">
        <f t="shared" si="150"/>
        <v>0</v>
      </c>
      <c r="O523" s="1293">
        <f t="shared" si="150"/>
        <v>0</v>
      </c>
      <c r="P523" s="1293">
        <f t="shared" si="150"/>
        <v>0</v>
      </c>
      <c r="Q523" s="1293">
        <f t="shared" si="150"/>
        <v>0</v>
      </c>
      <c r="R523" s="1293">
        <f t="shared" si="150"/>
        <v>0</v>
      </c>
      <c r="S523" s="1293">
        <f t="shared" si="150"/>
        <v>0</v>
      </c>
      <c r="T523" s="1293">
        <f t="shared" si="150"/>
        <v>0</v>
      </c>
      <c r="U523" s="1293">
        <f t="shared" si="150"/>
        <v>0</v>
      </c>
      <c r="V523" s="1293">
        <f t="shared" si="150"/>
        <v>396203721</v>
      </c>
    </row>
    <row r="524" spans="1:23" s="1299" customFormat="1" hidden="1" x14ac:dyDescent="0.25">
      <c r="A524" s="1297"/>
      <c r="B524" s="1297"/>
      <c r="C524" s="1297"/>
      <c r="D524" s="1297" t="s">
        <v>278</v>
      </c>
      <c r="E524" s="1298">
        <f t="shared" ref="E524:V524" si="151">E15</f>
        <v>1350582440</v>
      </c>
      <c r="F524" s="1298">
        <f t="shared" si="151"/>
        <v>1350582440</v>
      </c>
      <c r="G524" s="1298">
        <f t="shared" si="151"/>
        <v>666421991</v>
      </c>
      <c r="H524" s="1298">
        <f t="shared" si="151"/>
        <v>381849</v>
      </c>
      <c r="I524" s="1298">
        <f t="shared" si="151"/>
        <v>211584787</v>
      </c>
      <c r="J524" s="1298">
        <f t="shared" si="151"/>
        <v>208970222</v>
      </c>
      <c r="K524" s="1298">
        <f t="shared" si="151"/>
        <v>263223591</v>
      </c>
      <c r="L524" s="1298">
        <f t="shared" si="151"/>
        <v>0</v>
      </c>
      <c r="M524" s="1298">
        <f t="shared" si="151"/>
        <v>145353692</v>
      </c>
      <c r="N524" s="1298">
        <f t="shared" si="151"/>
        <v>0</v>
      </c>
      <c r="O524" s="1298">
        <f t="shared" si="151"/>
        <v>144445508</v>
      </c>
      <c r="P524" s="1298">
        <f t="shared" si="151"/>
        <v>24274976</v>
      </c>
      <c r="Q524" s="1298">
        <f t="shared" si="151"/>
        <v>39314</v>
      </c>
      <c r="R524" s="1298">
        <f t="shared" si="151"/>
        <v>91070314</v>
      </c>
      <c r="S524" s="1298">
        <f t="shared" si="151"/>
        <v>8563759</v>
      </c>
      <c r="T524" s="1298">
        <f t="shared" si="151"/>
        <v>908184</v>
      </c>
      <c r="U524" s="1298">
        <f t="shared" si="151"/>
        <v>0</v>
      </c>
      <c r="V524" s="1298">
        <f t="shared" si="151"/>
        <v>1495936132</v>
      </c>
    </row>
    <row r="525" spans="1:23" hidden="1" x14ac:dyDescent="0.25">
      <c r="D525" s="1074" t="s">
        <v>1484</v>
      </c>
      <c r="E525" s="1293">
        <f t="shared" ref="E525:V525" si="152">E146</f>
        <v>210584034</v>
      </c>
      <c r="F525" s="1293">
        <f t="shared" si="152"/>
        <v>210584034</v>
      </c>
      <c r="G525" s="1293">
        <f t="shared" si="152"/>
        <v>0</v>
      </c>
      <c r="H525" s="1293">
        <f t="shared" si="152"/>
        <v>0</v>
      </c>
      <c r="I525" s="1293">
        <f t="shared" si="152"/>
        <v>1651082</v>
      </c>
      <c r="J525" s="1293">
        <f t="shared" si="152"/>
        <v>0</v>
      </c>
      <c r="K525" s="1293">
        <f t="shared" si="152"/>
        <v>208932952</v>
      </c>
      <c r="L525" s="1293">
        <f t="shared" si="152"/>
        <v>0</v>
      </c>
      <c r="M525" s="1293">
        <f t="shared" si="152"/>
        <v>0</v>
      </c>
      <c r="N525" s="1293">
        <f t="shared" si="152"/>
        <v>0</v>
      </c>
      <c r="O525" s="1293">
        <f t="shared" si="152"/>
        <v>0</v>
      </c>
      <c r="P525" s="1293">
        <f t="shared" si="152"/>
        <v>0</v>
      </c>
      <c r="Q525" s="1293">
        <f t="shared" si="152"/>
        <v>0</v>
      </c>
      <c r="R525" s="1293">
        <f t="shared" si="152"/>
        <v>0</v>
      </c>
      <c r="S525" s="1293">
        <f t="shared" si="152"/>
        <v>0</v>
      </c>
      <c r="T525" s="1293">
        <f t="shared" si="152"/>
        <v>0</v>
      </c>
      <c r="U525" s="1293">
        <f t="shared" si="152"/>
        <v>0</v>
      </c>
      <c r="V525" s="1293">
        <f t="shared" si="152"/>
        <v>210584034</v>
      </c>
    </row>
    <row r="526" spans="1:23" hidden="1" x14ac:dyDescent="0.25">
      <c r="D526" s="1074" t="s">
        <v>1485</v>
      </c>
      <c r="E526" s="1293">
        <f t="shared" ref="E526:V526" si="153">E203+E90+E450</f>
        <v>241774900</v>
      </c>
      <c r="F526" s="1293">
        <f t="shared" si="153"/>
        <v>241774900</v>
      </c>
      <c r="G526" s="1293">
        <f t="shared" si="153"/>
        <v>43214523</v>
      </c>
      <c r="H526" s="1293">
        <f t="shared" si="153"/>
        <v>0</v>
      </c>
      <c r="I526" s="1293">
        <f t="shared" si="153"/>
        <v>2551462</v>
      </c>
      <c r="J526" s="1293">
        <f t="shared" si="153"/>
        <v>5420123</v>
      </c>
      <c r="K526" s="1293">
        <f t="shared" si="153"/>
        <v>190588792</v>
      </c>
      <c r="L526" s="1293">
        <f t="shared" si="153"/>
        <v>0</v>
      </c>
      <c r="M526" s="1293">
        <f t="shared" si="153"/>
        <v>969543</v>
      </c>
      <c r="N526" s="1293">
        <f t="shared" si="153"/>
        <v>0</v>
      </c>
      <c r="O526" s="1293">
        <f t="shared" si="153"/>
        <v>969543</v>
      </c>
      <c r="P526" s="1293">
        <f t="shared" si="153"/>
        <v>73524</v>
      </c>
      <c r="Q526" s="1293">
        <f t="shared" si="153"/>
        <v>18527</v>
      </c>
      <c r="R526" s="1293">
        <f t="shared" si="153"/>
        <v>9020</v>
      </c>
      <c r="S526" s="1293">
        <f t="shared" si="153"/>
        <v>512655</v>
      </c>
      <c r="T526" s="1293">
        <f t="shared" si="153"/>
        <v>0</v>
      </c>
      <c r="U526" s="1293">
        <f t="shared" si="153"/>
        <v>0</v>
      </c>
      <c r="V526" s="1293">
        <f t="shared" si="153"/>
        <v>242744443</v>
      </c>
    </row>
    <row r="527" spans="1:23" hidden="1" x14ac:dyDescent="0.25">
      <c r="D527" s="1074" t="s">
        <v>375</v>
      </c>
      <c r="E527" s="1293">
        <f t="shared" ref="E527:V527" si="154">E305+E123</f>
        <v>93018774</v>
      </c>
      <c r="F527" s="1293">
        <f t="shared" si="154"/>
        <v>7494276</v>
      </c>
      <c r="G527" s="1293">
        <f t="shared" si="154"/>
        <v>0</v>
      </c>
      <c r="H527" s="1293">
        <f t="shared" si="154"/>
        <v>0</v>
      </c>
      <c r="I527" s="1293">
        <f t="shared" si="154"/>
        <v>0</v>
      </c>
      <c r="J527" s="1293">
        <f t="shared" si="154"/>
        <v>1417733</v>
      </c>
      <c r="K527" s="1293">
        <f t="shared" si="154"/>
        <v>6076543</v>
      </c>
      <c r="L527" s="1293">
        <f t="shared" si="154"/>
        <v>85524498</v>
      </c>
      <c r="M527" s="1293">
        <f t="shared" si="154"/>
        <v>105991</v>
      </c>
      <c r="N527" s="1293">
        <f t="shared" si="154"/>
        <v>0</v>
      </c>
      <c r="O527" s="1293">
        <f t="shared" si="154"/>
        <v>0</v>
      </c>
      <c r="P527" s="1293">
        <f t="shared" si="154"/>
        <v>0</v>
      </c>
      <c r="Q527" s="1293">
        <f t="shared" si="154"/>
        <v>0</v>
      </c>
      <c r="R527" s="1293">
        <f t="shared" si="154"/>
        <v>0</v>
      </c>
      <c r="S527" s="1293">
        <f t="shared" si="154"/>
        <v>0</v>
      </c>
      <c r="T527" s="1293">
        <f t="shared" si="154"/>
        <v>105991</v>
      </c>
      <c r="U527" s="1293">
        <f t="shared" si="154"/>
        <v>0</v>
      </c>
      <c r="V527" s="1293">
        <f t="shared" si="154"/>
        <v>93124765</v>
      </c>
    </row>
    <row r="528" spans="1:23" hidden="1" x14ac:dyDescent="0.25">
      <c r="D528" s="1074" t="s">
        <v>359</v>
      </c>
      <c r="E528" s="1293">
        <f t="shared" ref="E528:V528" si="155">E98</f>
        <v>57174551</v>
      </c>
      <c r="F528" s="1293">
        <f t="shared" si="155"/>
        <v>57174551</v>
      </c>
      <c r="G528" s="1293">
        <f t="shared" si="155"/>
        <v>23851935</v>
      </c>
      <c r="H528" s="1293">
        <f t="shared" si="155"/>
        <v>0</v>
      </c>
      <c r="I528" s="1293">
        <f t="shared" si="155"/>
        <v>0</v>
      </c>
      <c r="J528" s="1293">
        <f t="shared" si="155"/>
        <v>6269703</v>
      </c>
      <c r="K528" s="1293">
        <f t="shared" si="155"/>
        <v>27052913</v>
      </c>
      <c r="L528" s="1293">
        <f t="shared" si="155"/>
        <v>0</v>
      </c>
      <c r="M528" s="1293">
        <f t="shared" si="155"/>
        <v>655725</v>
      </c>
      <c r="N528" s="1293">
        <f t="shared" si="155"/>
        <v>0</v>
      </c>
      <c r="O528" s="1293">
        <f t="shared" si="155"/>
        <v>655725</v>
      </c>
      <c r="P528" s="1293">
        <f t="shared" si="155"/>
        <v>15600</v>
      </c>
      <c r="Q528" s="1293">
        <f t="shared" si="155"/>
        <v>0</v>
      </c>
      <c r="R528" s="1293">
        <f t="shared" si="155"/>
        <v>0</v>
      </c>
      <c r="S528" s="1293">
        <f t="shared" si="155"/>
        <v>166203</v>
      </c>
      <c r="T528" s="1293">
        <f t="shared" si="155"/>
        <v>0</v>
      </c>
      <c r="U528" s="1293">
        <f t="shared" si="155"/>
        <v>0</v>
      </c>
      <c r="V528" s="1293">
        <f t="shared" si="155"/>
        <v>57830276</v>
      </c>
    </row>
    <row r="529" spans="4:22" hidden="1" x14ac:dyDescent="0.25">
      <c r="D529" s="1074" t="s">
        <v>556</v>
      </c>
      <c r="E529" s="1293">
        <f>E510</f>
        <v>277243300</v>
      </c>
      <c r="F529" s="1293">
        <f t="shared" ref="F529:V529" si="156">F510</f>
        <v>277243300</v>
      </c>
      <c r="G529" s="1293">
        <f t="shared" si="156"/>
        <v>0</v>
      </c>
      <c r="H529" s="1293">
        <f t="shared" si="156"/>
        <v>0</v>
      </c>
      <c r="I529" s="1293">
        <f t="shared" si="156"/>
        <v>0</v>
      </c>
      <c r="J529" s="1293">
        <f t="shared" si="156"/>
        <v>0</v>
      </c>
      <c r="K529" s="1293">
        <f t="shared" si="156"/>
        <v>277243300</v>
      </c>
      <c r="L529" s="1293">
        <f t="shared" si="156"/>
        <v>0</v>
      </c>
      <c r="M529" s="1293">
        <f t="shared" si="156"/>
        <v>0</v>
      </c>
      <c r="N529" s="1293">
        <f t="shared" si="156"/>
        <v>0</v>
      </c>
      <c r="O529" s="1293">
        <f t="shared" si="156"/>
        <v>0</v>
      </c>
      <c r="P529" s="1293">
        <f t="shared" si="156"/>
        <v>0</v>
      </c>
      <c r="Q529" s="1293">
        <f t="shared" si="156"/>
        <v>0</v>
      </c>
      <c r="R529" s="1293">
        <f t="shared" si="156"/>
        <v>0</v>
      </c>
      <c r="S529" s="1293">
        <f t="shared" si="156"/>
        <v>0</v>
      </c>
      <c r="T529" s="1293">
        <f t="shared" si="156"/>
        <v>0</v>
      </c>
      <c r="U529" s="1293">
        <f t="shared" si="156"/>
        <v>0</v>
      </c>
      <c r="V529" s="1293">
        <f t="shared" si="156"/>
        <v>277243300</v>
      </c>
    </row>
    <row r="530" spans="4:22" hidden="1" x14ac:dyDescent="0.25">
      <c r="D530" s="1074" t="s">
        <v>373</v>
      </c>
      <c r="E530" s="1293">
        <f t="shared" ref="E530:V530" si="157">E105</f>
        <v>122410406</v>
      </c>
      <c r="F530" s="1293">
        <f t="shared" si="157"/>
        <v>122410406</v>
      </c>
      <c r="G530" s="1293">
        <f t="shared" si="157"/>
        <v>53947242</v>
      </c>
      <c r="H530" s="1293">
        <f t="shared" si="157"/>
        <v>19828</v>
      </c>
      <c r="I530" s="1293">
        <f t="shared" si="157"/>
        <v>0</v>
      </c>
      <c r="J530" s="1293">
        <f t="shared" si="157"/>
        <v>5066262</v>
      </c>
      <c r="K530" s="1293">
        <f t="shared" si="157"/>
        <v>63377074</v>
      </c>
      <c r="L530" s="1293">
        <f t="shared" si="157"/>
        <v>0</v>
      </c>
      <c r="M530" s="1293">
        <f t="shared" si="157"/>
        <v>35000</v>
      </c>
      <c r="N530" s="1293">
        <f t="shared" si="157"/>
        <v>0</v>
      </c>
      <c r="O530" s="1293">
        <f t="shared" si="157"/>
        <v>35000</v>
      </c>
      <c r="P530" s="1293">
        <f t="shared" si="157"/>
        <v>0</v>
      </c>
      <c r="Q530" s="1293">
        <f t="shared" si="157"/>
        <v>0</v>
      </c>
      <c r="R530" s="1293">
        <f t="shared" si="157"/>
        <v>0</v>
      </c>
      <c r="S530" s="1293">
        <f t="shared" si="157"/>
        <v>0</v>
      </c>
      <c r="T530" s="1293">
        <f t="shared" si="157"/>
        <v>0</v>
      </c>
      <c r="U530" s="1293">
        <f t="shared" si="157"/>
        <v>0</v>
      </c>
      <c r="V530" s="1293">
        <f t="shared" si="157"/>
        <v>122445406</v>
      </c>
    </row>
    <row r="531" spans="4:22" hidden="1" x14ac:dyDescent="0.25">
      <c r="D531" s="1074" t="s">
        <v>1486</v>
      </c>
      <c r="E531" s="1293">
        <f t="shared" ref="E531:V531" si="158">E327+E324</f>
        <v>0</v>
      </c>
      <c r="F531" s="1293">
        <f t="shared" si="158"/>
        <v>0</v>
      </c>
      <c r="G531" s="1293">
        <f t="shared" si="158"/>
        <v>0</v>
      </c>
      <c r="H531" s="1293">
        <f t="shared" si="158"/>
        <v>0</v>
      </c>
      <c r="I531" s="1293">
        <f t="shared" si="158"/>
        <v>0</v>
      </c>
      <c r="J531" s="1293">
        <f t="shared" si="158"/>
        <v>0</v>
      </c>
      <c r="K531" s="1293">
        <f t="shared" si="158"/>
        <v>0</v>
      </c>
      <c r="L531" s="1293">
        <f t="shared" si="158"/>
        <v>0</v>
      </c>
      <c r="M531" s="1293">
        <f t="shared" si="158"/>
        <v>0</v>
      </c>
      <c r="N531" s="1293">
        <f t="shared" si="158"/>
        <v>0</v>
      </c>
      <c r="O531" s="1293">
        <f t="shared" si="158"/>
        <v>0</v>
      </c>
      <c r="P531" s="1293">
        <f t="shared" si="158"/>
        <v>0</v>
      </c>
      <c r="Q531" s="1293">
        <f t="shared" si="158"/>
        <v>0</v>
      </c>
      <c r="R531" s="1293">
        <f t="shared" si="158"/>
        <v>0</v>
      </c>
      <c r="S531" s="1293">
        <f t="shared" si="158"/>
        <v>0</v>
      </c>
      <c r="T531" s="1293">
        <f t="shared" si="158"/>
        <v>0</v>
      </c>
      <c r="U531" s="1293">
        <f t="shared" si="158"/>
        <v>0</v>
      </c>
      <c r="V531" s="1293">
        <f t="shared" si="158"/>
        <v>0</v>
      </c>
    </row>
    <row r="532" spans="4:22" hidden="1" x14ac:dyDescent="0.25">
      <c r="D532" s="1074" t="s">
        <v>268</v>
      </c>
      <c r="E532" s="1293">
        <f>E509+E458+E455+E443+E439+E437+E342+E339+E336+E331+E329+E141</f>
        <v>153955932</v>
      </c>
      <c r="F532" s="1293">
        <f>F509+F458+F455+F443+F439+F437+F342+F339+F336+F331+F329+F141</f>
        <v>2355932</v>
      </c>
      <c r="G532" s="1293">
        <f>G509+G458+G455+G443+G439+G437+G342+G339+G336+G331+G329+G141</f>
        <v>0</v>
      </c>
      <c r="H532" s="1293">
        <f>H509+H458+H455+H443+H439+H437+H342+H339+H336+H331+H329+H141</f>
        <v>0</v>
      </c>
      <c r="I532" s="1293">
        <f>I509+I458+I455+I443+I439+I437+I342+I339+I336+I331+I329+I141</f>
        <v>0</v>
      </c>
      <c r="J532" s="1293">
        <f>J509+J458+J455+J443+J439+J437+J342+J339+J336+J331+J329+J141+E509</f>
        <v>150000000</v>
      </c>
      <c r="K532" s="1293">
        <f t="shared" ref="K532:V532" si="159">K509+K458+K455+K443+K439+K437+K342+K339+K336+K331+K329+K141</f>
        <v>2355932</v>
      </c>
      <c r="L532" s="1293">
        <f t="shared" si="159"/>
        <v>1600000</v>
      </c>
      <c r="M532" s="1293">
        <f t="shared" si="159"/>
        <v>0</v>
      </c>
      <c r="N532" s="1293">
        <f t="shared" si="159"/>
        <v>0</v>
      </c>
      <c r="O532" s="1293">
        <f t="shared" si="159"/>
        <v>0</v>
      </c>
      <c r="P532" s="1293">
        <f t="shared" si="159"/>
        <v>0</v>
      </c>
      <c r="Q532" s="1293">
        <f t="shared" si="159"/>
        <v>0</v>
      </c>
      <c r="R532" s="1293">
        <f t="shared" si="159"/>
        <v>0</v>
      </c>
      <c r="S532" s="1293">
        <f t="shared" si="159"/>
        <v>0</v>
      </c>
      <c r="T532" s="1293">
        <f t="shared" si="159"/>
        <v>0</v>
      </c>
      <c r="U532" s="1293">
        <f t="shared" si="159"/>
        <v>0</v>
      </c>
      <c r="V532" s="1293">
        <f t="shared" si="159"/>
        <v>153955932</v>
      </c>
    </row>
    <row r="533" spans="4:22" hidden="1" x14ac:dyDescent="0.25"/>
    <row r="534" spans="4:22" hidden="1" x14ac:dyDescent="0.25"/>
    <row r="535" spans="4:22" hidden="1" x14ac:dyDescent="0.25"/>
    <row r="536" spans="4:22" hidden="1" x14ac:dyDescent="0.25">
      <c r="D536" s="1074" t="s">
        <v>1487</v>
      </c>
      <c r="E536" s="1293">
        <f>E513-E521</f>
        <v>807209160</v>
      </c>
    </row>
    <row r="537" spans="4:22" hidden="1" x14ac:dyDescent="0.25">
      <c r="E537" s="1124" t="s">
        <v>1488</v>
      </c>
      <c r="F537" s="1074" t="s">
        <v>1489</v>
      </c>
      <c r="G537" s="1074" t="s">
        <v>1490</v>
      </c>
    </row>
    <row r="538" spans="4:22" hidden="1" x14ac:dyDescent="0.25">
      <c r="D538" s="1074" t="s">
        <v>260</v>
      </c>
      <c r="E538" s="1293">
        <f t="shared" ref="E538:E545" si="160">G523+J523+P523+S523</f>
        <v>304690744</v>
      </c>
      <c r="F538" s="1086">
        <f>H523+I523+K523+L523+O523-P523-S523+T523-N523</f>
        <v>91512977</v>
      </c>
      <c r="G538" s="1086">
        <f>N523</f>
        <v>0</v>
      </c>
    </row>
    <row r="539" spans="4:22" hidden="1" x14ac:dyDescent="0.25">
      <c r="D539" s="1074" t="s">
        <v>278</v>
      </c>
      <c r="E539" s="1293">
        <f t="shared" si="160"/>
        <v>908230948</v>
      </c>
      <c r="F539" s="1086">
        <f t="shared" ref="F539:F546" si="161">H524+I524+K524+L524+O524-P524-S524+T524-N524</f>
        <v>587705184</v>
      </c>
      <c r="G539" s="1086">
        <f t="shared" ref="G539:G547" si="162">N524</f>
        <v>0</v>
      </c>
    </row>
    <row r="540" spans="4:22" hidden="1" x14ac:dyDescent="0.25">
      <c r="D540" s="1074" t="s">
        <v>1484</v>
      </c>
      <c r="E540" s="1293">
        <f t="shared" si="160"/>
        <v>0</v>
      </c>
      <c r="F540" s="1086">
        <f t="shared" si="161"/>
        <v>210584034</v>
      </c>
      <c r="G540" s="1086">
        <f t="shared" si="162"/>
        <v>0</v>
      </c>
    </row>
    <row r="541" spans="4:22" hidden="1" x14ac:dyDescent="0.25">
      <c r="D541" s="1074" t="s">
        <v>1485</v>
      </c>
      <c r="E541" s="1293">
        <f t="shared" si="160"/>
        <v>49220825</v>
      </c>
      <c r="F541" s="1086">
        <f t="shared" si="161"/>
        <v>193523618</v>
      </c>
      <c r="G541" s="1086">
        <f t="shared" si="162"/>
        <v>0</v>
      </c>
    </row>
    <row r="542" spans="4:22" hidden="1" x14ac:dyDescent="0.25">
      <c r="D542" s="1074" t="s">
        <v>375</v>
      </c>
      <c r="E542" s="1293">
        <f t="shared" si="160"/>
        <v>1417733</v>
      </c>
      <c r="F542" s="1086">
        <f t="shared" si="161"/>
        <v>91707032</v>
      </c>
      <c r="G542" s="1086">
        <f t="shared" si="162"/>
        <v>0</v>
      </c>
    </row>
    <row r="543" spans="4:22" hidden="1" x14ac:dyDescent="0.25">
      <c r="D543" s="1074" t="s">
        <v>359</v>
      </c>
      <c r="E543" s="1293">
        <f t="shared" si="160"/>
        <v>30303441</v>
      </c>
      <c r="F543" s="1086">
        <f t="shared" si="161"/>
        <v>27526835</v>
      </c>
      <c r="G543" s="1086">
        <f t="shared" si="162"/>
        <v>0</v>
      </c>
    </row>
    <row r="544" spans="4:22" hidden="1" x14ac:dyDescent="0.25">
      <c r="D544" s="1074" t="s">
        <v>556</v>
      </c>
      <c r="E544" s="1293">
        <f t="shared" si="160"/>
        <v>0</v>
      </c>
      <c r="F544" s="1086">
        <f t="shared" si="161"/>
        <v>277243300</v>
      </c>
      <c r="G544" s="1086">
        <f t="shared" si="162"/>
        <v>0</v>
      </c>
    </row>
    <row r="545" spans="4:7" hidden="1" x14ac:dyDescent="0.25">
      <c r="D545" s="1074" t="s">
        <v>373</v>
      </c>
      <c r="E545" s="1293">
        <f t="shared" si="160"/>
        <v>59013504</v>
      </c>
      <c r="F545" s="1086">
        <f t="shared" si="161"/>
        <v>63431902</v>
      </c>
      <c r="G545" s="1086">
        <f t="shared" si="162"/>
        <v>0</v>
      </c>
    </row>
    <row r="546" spans="4:7" hidden="1" x14ac:dyDescent="0.25">
      <c r="D546" s="1074" t="s">
        <v>1486</v>
      </c>
      <c r="E546" s="1293">
        <f>G531+J531+P531+S531</f>
        <v>0</v>
      </c>
      <c r="F546" s="1086">
        <f t="shared" si="161"/>
        <v>0</v>
      </c>
      <c r="G546" s="1086">
        <f t="shared" si="162"/>
        <v>0</v>
      </c>
    </row>
    <row r="547" spans="4:7" hidden="1" x14ac:dyDescent="0.25">
      <c r="D547" s="1074" t="s">
        <v>268</v>
      </c>
      <c r="E547" s="1293">
        <f>G532+J532+P532+S532</f>
        <v>150000000</v>
      </c>
      <c r="F547" s="1086">
        <f>H532+I532+K532+L532+O532-P532-S532+T532-N532</f>
        <v>3955932</v>
      </c>
      <c r="G547" s="1086">
        <f t="shared" si="162"/>
        <v>0</v>
      </c>
    </row>
    <row r="548" spans="4:7" hidden="1" x14ac:dyDescent="0.25">
      <c r="E548" s="1293">
        <f>SUM(E538:E547)</f>
        <v>1502877195</v>
      </c>
      <c r="F548" s="1293">
        <f>SUM(F538:F547)</f>
        <v>1547190814</v>
      </c>
      <c r="G548" s="1293">
        <f>SUM(G538:G547)</f>
        <v>0</v>
      </c>
    </row>
    <row r="549" spans="4:7" hidden="1" x14ac:dyDescent="0.25"/>
    <row r="550" spans="4:7" hidden="1" x14ac:dyDescent="0.25">
      <c r="D550" s="1074" t="s">
        <v>1487</v>
      </c>
      <c r="E550" s="1293">
        <f>E538+E539+E540+E541+E542+E543+E544+E545+E546+E547+F538+F539+F540+F541+F542+F543+F544+F545+F546+F547+G538+G539+G540+G541+G542+G543+G544+G545+G546+G547</f>
        <v>3050068009</v>
      </c>
    </row>
    <row r="551" spans="4:7" hidden="1" x14ac:dyDescent="0.25">
      <c r="E551" s="1300">
        <f>E521+M521</f>
        <v>3050068009</v>
      </c>
    </row>
    <row r="552" spans="4:7" x14ac:dyDescent="0.25">
      <c r="D552" s="1301" t="s">
        <v>1491</v>
      </c>
      <c r="E552" s="1302">
        <v>1000000</v>
      </c>
    </row>
    <row r="553" spans="4:7" x14ac:dyDescent="0.25">
      <c r="E553" s="1290">
        <f>E552/E513</f>
        <v>2.6953035713647217E-4</v>
      </c>
    </row>
    <row r="557" spans="4:7" x14ac:dyDescent="0.25">
      <c r="E557" s="1293"/>
    </row>
    <row r="558" spans="4:7" ht="15.6" x14ac:dyDescent="0.3">
      <c r="D558" s="1303"/>
      <c r="E558" s="1304"/>
    </row>
    <row r="559" spans="4:7" ht="15.6" x14ac:dyDescent="0.3">
      <c r="D559" s="1303"/>
      <c r="E559" s="1305"/>
    </row>
    <row r="560" spans="4:7" ht="15.6" x14ac:dyDescent="0.3">
      <c r="D560" s="1303"/>
      <c r="E560" s="1305"/>
    </row>
    <row r="561" spans="4:5" ht="15.6" x14ac:dyDescent="0.3">
      <c r="D561" s="1303"/>
      <c r="E561" s="1293"/>
    </row>
    <row r="562" spans="4:5" ht="15.6" x14ac:dyDescent="0.3">
      <c r="D562" s="1303"/>
      <c r="E562" s="1305"/>
    </row>
    <row r="565" spans="4:5" x14ac:dyDescent="0.25">
      <c r="E565" s="1293"/>
    </row>
  </sheetData>
  <mergeCells count="31">
    <mergeCell ref="U1:V2"/>
    <mergeCell ref="A3:V3"/>
    <mergeCell ref="A7:A10"/>
    <mergeCell ref="B7:B10"/>
    <mergeCell ref="C7:C10"/>
    <mergeCell ref="D7:D10"/>
    <mergeCell ref="E7:L7"/>
    <mergeCell ref="M7:U7"/>
    <mergeCell ref="V7:V10"/>
    <mergeCell ref="E8:E10"/>
    <mergeCell ref="P8:S8"/>
    <mergeCell ref="T8:T10"/>
    <mergeCell ref="U8:U9"/>
    <mergeCell ref="G9:G10"/>
    <mergeCell ref="H9:H10"/>
    <mergeCell ref="I9:I10"/>
    <mergeCell ref="J9:J10"/>
    <mergeCell ref="K9:K10"/>
    <mergeCell ref="P9:P10"/>
    <mergeCell ref="Q9:Q10"/>
    <mergeCell ref="G8:K8"/>
    <mergeCell ref="L8:L10"/>
    <mergeCell ref="M8:M10"/>
    <mergeCell ref="N8:N10"/>
    <mergeCell ref="O8:O10"/>
    <mergeCell ref="R9:R10"/>
    <mergeCell ref="S9:S10"/>
    <mergeCell ref="B516:D516"/>
    <mergeCell ref="U516:V516"/>
    <mergeCell ref="C517:D517"/>
    <mergeCell ref="F8:F10"/>
  </mergeCells>
  <printOptions horizontalCentered="1"/>
  <pageMargins left="0.35433070866141736" right="0.23622047244094491" top="0.27559055118110237" bottom="0.27559055118110237" header="0.23622047244094491" footer="0.31496062992125984"/>
  <pageSetup paperSize="9" scale="41" fitToHeight="7" orientation="landscape" r:id="rId1"/>
  <headerFooter alignWithMargins="0">
    <oddFooter>&amp;R&amp;P</oddFooter>
  </headerFooter>
  <rowBreaks count="1" manualBreakCount="1">
    <brk id="3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9"/>
  <sheetViews>
    <sheetView showGridLines="0" showZeros="0" topLeftCell="A13" zoomScale="70" zoomScaleNormal="70" workbookViewId="0">
      <selection activeCell="F69" sqref="F69"/>
    </sheetView>
  </sheetViews>
  <sheetFormatPr defaultColWidth="9.109375" defaultRowHeight="13.2" x14ac:dyDescent="0.25"/>
  <cols>
    <col min="1" max="1" width="15.109375" style="1307" customWidth="1"/>
    <col min="2" max="2" width="10.44140625" style="1307" customWidth="1"/>
    <col min="3" max="3" width="11.6640625" style="1307" customWidth="1"/>
    <col min="4" max="4" width="42.109375" style="1307" customWidth="1"/>
    <col min="5" max="5" width="61.44140625" style="1307" hidden="1" customWidth="1"/>
    <col min="6" max="6" width="16.33203125" style="1307" customWidth="1"/>
    <col min="7" max="7" width="15.109375" style="1307" customWidth="1"/>
    <col min="8" max="8" width="16.5546875" style="1307" customWidth="1"/>
    <col min="9" max="9" width="18.33203125" style="1307" bestFit="1" customWidth="1"/>
    <col min="10" max="10" width="12.77734375" style="1307" customWidth="1"/>
    <col min="11" max="11" width="16.33203125" style="1307" customWidth="1"/>
    <col min="12" max="12" width="15.6640625" style="1307" customWidth="1"/>
    <col min="13" max="13" width="19.109375" style="1307" bestFit="1" customWidth="1"/>
    <col min="14" max="14" width="15.33203125" style="1307" customWidth="1"/>
    <col min="15" max="15" width="19.33203125" style="1307" customWidth="1"/>
    <col min="16" max="16" width="17.109375" style="1307" customWidth="1"/>
    <col min="17" max="17" width="19.44140625" style="1307" bestFit="1" customWidth="1"/>
    <col min="18" max="23" width="9.109375" style="1307" customWidth="1"/>
    <col min="24" max="24" width="13.77734375" style="1307" customWidth="1"/>
    <col min="25" max="256" width="9.109375" style="1307"/>
    <col min="257" max="257" width="15.109375" style="1307" customWidth="1"/>
    <col min="258" max="258" width="10.44140625" style="1307" customWidth="1"/>
    <col min="259" max="259" width="11.6640625" style="1307" customWidth="1"/>
    <col min="260" max="260" width="42.109375" style="1307" customWidth="1"/>
    <col min="261" max="261" width="0" style="1307" hidden="1" customWidth="1"/>
    <col min="262" max="262" width="16.33203125" style="1307" customWidth="1"/>
    <col min="263" max="263" width="15.109375" style="1307" customWidth="1"/>
    <col min="264" max="264" width="16.5546875" style="1307" customWidth="1"/>
    <col min="265" max="265" width="18.33203125" style="1307" bestFit="1" customWidth="1"/>
    <col min="266" max="266" width="12.77734375" style="1307" customWidth="1"/>
    <col min="267" max="267" width="16.33203125" style="1307" customWidth="1"/>
    <col min="268" max="268" width="15.6640625" style="1307" customWidth="1"/>
    <col min="269" max="269" width="19.109375" style="1307" bestFit="1" customWidth="1"/>
    <col min="270" max="270" width="15.33203125" style="1307" customWidth="1"/>
    <col min="271" max="271" width="19.33203125" style="1307" customWidth="1"/>
    <col min="272" max="272" width="17.109375" style="1307" customWidth="1"/>
    <col min="273" max="273" width="19.44140625" style="1307" bestFit="1" customWidth="1"/>
    <col min="274" max="279" width="9.109375" style="1307" customWidth="1"/>
    <col min="280" max="280" width="13.77734375" style="1307" customWidth="1"/>
    <col min="281" max="512" width="9.109375" style="1307"/>
    <col min="513" max="513" width="15.109375" style="1307" customWidth="1"/>
    <col min="514" max="514" width="10.44140625" style="1307" customWidth="1"/>
    <col min="515" max="515" width="11.6640625" style="1307" customWidth="1"/>
    <col min="516" max="516" width="42.109375" style="1307" customWidth="1"/>
    <col min="517" max="517" width="0" style="1307" hidden="1" customWidth="1"/>
    <col min="518" max="518" width="16.33203125" style="1307" customWidth="1"/>
    <col min="519" max="519" width="15.109375" style="1307" customWidth="1"/>
    <col min="520" max="520" width="16.5546875" style="1307" customWidth="1"/>
    <col min="521" max="521" width="18.33203125" style="1307" bestFit="1" customWidth="1"/>
    <col min="522" max="522" width="12.77734375" style="1307" customWidth="1"/>
    <col min="523" max="523" width="16.33203125" style="1307" customWidth="1"/>
    <col min="524" max="524" width="15.6640625" style="1307" customWidth="1"/>
    <col min="525" max="525" width="19.109375" style="1307" bestFit="1" customWidth="1"/>
    <col min="526" max="526" width="15.33203125" style="1307" customWidth="1"/>
    <col min="527" max="527" width="19.33203125" style="1307" customWidth="1"/>
    <col min="528" max="528" width="17.109375" style="1307" customWidth="1"/>
    <col min="529" max="529" width="19.44140625" style="1307" bestFit="1" customWidth="1"/>
    <col min="530" max="535" width="9.109375" style="1307" customWidth="1"/>
    <col min="536" max="536" width="13.77734375" style="1307" customWidth="1"/>
    <col min="537" max="768" width="9.109375" style="1307"/>
    <col min="769" max="769" width="15.109375" style="1307" customWidth="1"/>
    <col min="770" max="770" width="10.44140625" style="1307" customWidth="1"/>
    <col min="771" max="771" width="11.6640625" style="1307" customWidth="1"/>
    <col min="772" max="772" width="42.109375" style="1307" customWidth="1"/>
    <col min="773" max="773" width="0" style="1307" hidden="1" customWidth="1"/>
    <col min="774" max="774" width="16.33203125" style="1307" customWidth="1"/>
    <col min="775" max="775" width="15.109375" style="1307" customWidth="1"/>
    <col min="776" max="776" width="16.5546875" style="1307" customWidth="1"/>
    <col min="777" max="777" width="18.33203125" style="1307" bestFit="1" customWidth="1"/>
    <col min="778" max="778" width="12.77734375" style="1307" customWidth="1"/>
    <col min="779" max="779" width="16.33203125" style="1307" customWidth="1"/>
    <col min="780" max="780" width="15.6640625" style="1307" customWidth="1"/>
    <col min="781" max="781" width="19.109375" style="1307" bestFit="1" customWidth="1"/>
    <col min="782" max="782" width="15.33203125" style="1307" customWidth="1"/>
    <col min="783" max="783" width="19.33203125" style="1307" customWidth="1"/>
    <col min="784" max="784" width="17.109375" style="1307" customWidth="1"/>
    <col min="785" max="785" width="19.44140625" style="1307" bestFit="1" customWidth="1"/>
    <col min="786" max="791" width="9.109375" style="1307" customWidth="1"/>
    <col min="792" max="792" width="13.77734375" style="1307" customWidth="1"/>
    <col min="793" max="1024" width="9.109375" style="1307"/>
    <col min="1025" max="1025" width="15.109375" style="1307" customWidth="1"/>
    <col min="1026" max="1026" width="10.44140625" style="1307" customWidth="1"/>
    <col min="1027" max="1027" width="11.6640625" style="1307" customWidth="1"/>
    <col min="1028" max="1028" width="42.109375" style="1307" customWidth="1"/>
    <col min="1029" max="1029" width="0" style="1307" hidden="1" customWidth="1"/>
    <col min="1030" max="1030" width="16.33203125" style="1307" customWidth="1"/>
    <col min="1031" max="1031" width="15.109375" style="1307" customWidth="1"/>
    <col min="1032" max="1032" width="16.5546875" style="1307" customWidth="1"/>
    <col min="1033" max="1033" width="18.33203125" style="1307" bestFit="1" customWidth="1"/>
    <col min="1034" max="1034" width="12.77734375" style="1307" customWidth="1"/>
    <col min="1035" max="1035" width="16.33203125" style="1307" customWidth="1"/>
    <col min="1036" max="1036" width="15.6640625" style="1307" customWidth="1"/>
    <col min="1037" max="1037" width="19.109375" style="1307" bestFit="1" customWidth="1"/>
    <col min="1038" max="1038" width="15.33203125" style="1307" customWidth="1"/>
    <col min="1039" max="1039" width="19.33203125" style="1307" customWidth="1"/>
    <col min="1040" max="1040" width="17.109375" style="1307" customWidth="1"/>
    <col min="1041" max="1041" width="19.44140625" style="1307" bestFit="1" customWidth="1"/>
    <col min="1042" max="1047" width="9.109375" style="1307" customWidth="1"/>
    <col min="1048" max="1048" width="13.77734375" style="1307" customWidth="1"/>
    <col min="1049" max="1280" width="9.109375" style="1307"/>
    <col min="1281" max="1281" width="15.109375" style="1307" customWidth="1"/>
    <col min="1282" max="1282" width="10.44140625" style="1307" customWidth="1"/>
    <col min="1283" max="1283" width="11.6640625" style="1307" customWidth="1"/>
    <col min="1284" max="1284" width="42.109375" style="1307" customWidth="1"/>
    <col min="1285" max="1285" width="0" style="1307" hidden="1" customWidth="1"/>
    <col min="1286" max="1286" width="16.33203125" style="1307" customWidth="1"/>
    <col min="1287" max="1287" width="15.109375" style="1307" customWidth="1"/>
    <col min="1288" max="1288" width="16.5546875" style="1307" customWidth="1"/>
    <col min="1289" max="1289" width="18.33203125" style="1307" bestFit="1" customWidth="1"/>
    <col min="1290" max="1290" width="12.77734375" style="1307" customWidth="1"/>
    <col min="1291" max="1291" width="16.33203125" style="1307" customWidth="1"/>
    <col min="1292" max="1292" width="15.6640625" style="1307" customWidth="1"/>
    <col min="1293" max="1293" width="19.109375" style="1307" bestFit="1" customWidth="1"/>
    <col min="1294" max="1294" width="15.33203125" style="1307" customWidth="1"/>
    <col min="1295" max="1295" width="19.33203125" style="1307" customWidth="1"/>
    <col min="1296" max="1296" width="17.109375" style="1307" customWidth="1"/>
    <col min="1297" max="1297" width="19.44140625" style="1307" bestFit="1" customWidth="1"/>
    <col min="1298" max="1303" width="9.109375" style="1307" customWidth="1"/>
    <col min="1304" max="1304" width="13.77734375" style="1307" customWidth="1"/>
    <col min="1305" max="1536" width="9.109375" style="1307"/>
    <col min="1537" max="1537" width="15.109375" style="1307" customWidth="1"/>
    <col min="1538" max="1538" width="10.44140625" style="1307" customWidth="1"/>
    <col min="1539" max="1539" width="11.6640625" style="1307" customWidth="1"/>
    <col min="1540" max="1540" width="42.109375" style="1307" customWidth="1"/>
    <col min="1541" max="1541" width="0" style="1307" hidden="1" customWidth="1"/>
    <col min="1542" max="1542" width="16.33203125" style="1307" customWidth="1"/>
    <col min="1543" max="1543" width="15.109375" style="1307" customWidth="1"/>
    <col min="1544" max="1544" width="16.5546875" style="1307" customWidth="1"/>
    <col min="1545" max="1545" width="18.33203125" style="1307" bestFit="1" customWidth="1"/>
    <col min="1546" max="1546" width="12.77734375" style="1307" customWidth="1"/>
    <col min="1547" max="1547" width="16.33203125" style="1307" customWidth="1"/>
    <col min="1548" max="1548" width="15.6640625" style="1307" customWidth="1"/>
    <col min="1549" max="1549" width="19.109375" style="1307" bestFit="1" customWidth="1"/>
    <col min="1550" max="1550" width="15.33203125" style="1307" customWidth="1"/>
    <col min="1551" max="1551" width="19.33203125" style="1307" customWidth="1"/>
    <col min="1552" max="1552" width="17.109375" style="1307" customWidth="1"/>
    <col min="1553" max="1553" width="19.44140625" style="1307" bestFit="1" customWidth="1"/>
    <col min="1554" max="1559" width="9.109375" style="1307" customWidth="1"/>
    <col min="1560" max="1560" width="13.77734375" style="1307" customWidth="1"/>
    <col min="1561" max="1792" width="9.109375" style="1307"/>
    <col min="1793" max="1793" width="15.109375" style="1307" customWidth="1"/>
    <col min="1794" max="1794" width="10.44140625" style="1307" customWidth="1"/>
    <col min="1795" max="1795" width="11.6640625" style="1307" customWidth="1"/>
    <col min="1796" max="1796" width="42.109375" style="1307" customWidth="1"/>
    <col min="1797" max="1797" width="0" style="1307" hidden="1" customWidth="1"/>
    <col min="1798" max="1798" width="16.33203125" style="1307" customWidth="1"/>
    <col min="1799" max="1799" width="15.109375" style="1307" customWidth="1"/>
    <col min="1800" max="1800" width="16.5546875" style="1307" customWidth="1"/>
    <col min="1801" max="1801" width="18.33203125" style="1307" bestFit="1" customWidth="1"/>
    <col min="1802" max="1802" width="12.77734375" style="1307" customWidth="1"/>
    <col min="1803" max="1803" width="16.33203125" style="1307" customWidth="1"/>
    <col min="1804" max="1804" width="15.6640625" style="1307" customWidth="1"/>
    <col min="1805" max="1805" width="19.109375" style="1307" bestFit="1" customWidth="1"/>
    <col min="1806" max="1806" width="15.33203125" style="1307" customWidth="1"/>
    <col min="1807" max="1807" width="19.33203125" style="1307" customWidth="1"/>
    <col min="1808" max="1808" width="17.109375" style="1307" customWidth="1"/>
    <col min="1809" max="1809" width="19.44140625" style="1307" bestFit="1" customWidth="1"/>
    <col min="1810" max="1815" width="9.109375" style="1307" customWidth="1"/>
    <col min="1816" max="1816" width="13.77734375" style="1307" customWidth="1"/>
    <col min="1817" max="2048" width="9.109375" style="1307"/>
    <col min="2049" max="2049" width="15.109375" style="1307" customWidth="1"/>
    <col min="2050" max="2050" width="10.44140625" style="1307" customWidth="1"/>
    <col min="2051" max="2051" width="11.6640625" style="1307" customWidth="1"/>
    <col min="2052" max="2052" width="42.109375" style="1307" customWidth="1"/>
    <col min="2053" max="2053" width="0" style="1307" hidden="1" customWidth="1"/>
    <col min="2054" max="2054" width="16.33203125" style="1307" customWidth="1"/>
    <col min="2055" max="2055" width="15.109375" style="1307" customWidth="1"/>
    <col min="2056" max="2056" width="16.5546875" style="1307" customWidth="1"/>
    <col min="2057" max="2057" width="18.33203125" style="1307" bestFit="1" customWidth="1"/>
    <col min="2058" max="2058" width="12.77734375" style="1307" customWidth="1"/>
    <col min="2059" max="2059" width="16.33203125" style="1307" customWidth="1"/>
    <col min="2060" max="2060" width="15.6640625" style="1307" customWidth="1"/>
    <col min="2061" max="2061" width="19.109375" style="1307" bestFit="1" customWidth="1"/>
    <col min="2062" max="2062" width="15.33203125" style="1307" customWidth="1"/>
    <col min="2063" max="2063" width="19.33203125" style="1307" customWidth="1"/>
    <col min="2064" max="2064" width="17.109375" style="1307" customWidth="1"/>
    <col min="2065" max="2065" width="19.44140625" style="1307" bestFit="1" customWidth="1"/>
    <col min="2066" max="2071" width="9.109375" style="1307" customWidth="1"/>
    <col min="2072" max="2072" width="13.77734375" style="1307" customWidth="1"/>
    <col min="2073" max="2304" width="9.109375" style="1307"/>
    <col min="2305" max="2305" width="15.109375" style="1307" customWidth="1"/>
    <col min="2306" max="2306" width="10.44140625" style="1307" customWidth="1"/>
    <col min="2307" max="2307" width="11.6640625" style="1307" customWidth="1"/>
    <col min="2308" max="2308" width="42.109375" style="1307" customWidth="1"/>
    <col min="2309" max="2309" width="0" style="1307" hidden="1" customWidth="1"/>
    <col min="2310" max="2310" width="16.33203125" style="1307" customWidth="1"/>
    <col min="2311" max="2311" width="15.109375" style="1307" customWidth="1"/>
    <col min="2312" max="2312" width="16.5546875" style="1307" customWidth="1"/>
    <col min="2313" max="2313" width="18.33203125" style="1307" bestFit="1" customWidth="1"/>
    <col min="2314" max="2314" width="12.77734375" style="1307" customWidth="1"/>
    <col min="2315" max="2315" width="16.33203125" style="1307" customWidth="1"/>
    <col min="2316" max="2316" width="15.6640625" style="1307" customWidth="1"/>
    <col min="2317" max="2317" width="19.109375" style="1307" bestFit="1" customWidth="1"/>
    <col min="2318" max="2318" width="15.33203125" style="1307" customWidth="1"/>
    <col min="2319" max="2319" width="19.33203125" style="1307" customWidth="1"/>
    <col min="2320" max="2320" width="17.109375" style="1307" customWidth="1"/>
    <col min="2321" max="2321" width="19.44140625" style="1307" bestFit="1" customWidth="1"/>
    <col min="2322" max="2327" width="9.109375" style="1307" customWidth="1"/>
    <col min="2328" max="2328" width="13.77734375" style="1307" customWidth="1"/>
    <col min="2329" max="2560" width="9.109375" style="1307"/>
    <col min="2561" max="2561" width="15.109375" style="1307" customWidth="1"/>
    <col min="2562" max="2562" width="10.44140625" style="1307" customWidth="1"/>
    <col min="2563" max="2563" width="11.6640625" style="1307" customWidth="1"/>
    <col min="2564" max="2564" width="42.109375" style="1307" customWidth="1"/>
    <col min="2565" max="2565" width="0" style="1307" hidden="1" customWidth="1"/>
    <col min="2566" max="2566" width="16.33203125" style="1307" customWidth="1"/>
    <col min="2567" max="2567" width="15.109375" style="1307" customWidth="1"/>
    <col min="2568" max="2568" width="16.5546875" style="1307" customWidth="1"/>
    <col min="2569" max="2569" width="18.33203125" style="1307" bestFit="1" customWidth="1"/>
    <col min="2570" max="2570" width="12.77734375" style="1307" customWidth="1"/>
    <col min="2571" max="2571" width="16.33203125" style="1307" customWidth="1"/>
    <col min="2572" max="2572" width="15.6640625" style="1307" customWidth="1"/>
    <col min="2573" max="2573" width="19.109375" style="1307" bestFit="1" customWidth="1"/>
    <col min="2574" max="2574" width="15.33203125" style="1307" customWidth="1"/>
    <col min="2575" max="2575" width="19.33203125" style="1307" customWidth="1"/>
    <col min="2576" max="2576" width="17.109375" style="1307" customWidth="1"/>
    <col min="2577" max="2577" width="19.44140625" style="1307" bestFit="1" customWidth="1"/>
    <col min="2578" max="2583" width="9.109375" style="1307" customWidth="1"/>
    <col min="2584" max="2584" width="13.77734375" style="1307" customWidth="1"/>
    <col min="2585" max="2816" width="9.109375" style="1307"/>
    <col min="2817" max="2817" width="15.109375" style="1307" customWidth="1"/>
    <col min="2818" max="2818" width="10.44140625" style="1307" customWidth="1"/>
    <col min="2819" max="2819" width="11.6640625" style="1307" customWidth="1"/>
    <col min="2820" max="2820" width="42.109375" style="1307" customWidth="1"/>
    <col min="2821" max="2821" width="0" style="1307" hidden="1" customWidth="1"/>
    <col min="2822" max="2822" width="16.33203125" style="1307" customWidth="1"/>
    <col min="2823" max="2823" width="15.109375" style="1307" customWidth="1"/>
    <col min="2824" max="2824" width="16.5546875" style="1307" customWidth="1"/>
    <col min="2825" max="2825" width="18.33203125" style="1307" bestFit="1" customWidth="1"/>
    <col min="2826" max="2826" width="12.77734375" style="1307" customWidth="1"/>
    <col min="2827" max="2827" width="16.33203125" style="1307" customWidth="1"/>
    <col min="2828" max="2828" width="15.6640625" style="1307" customWidth="1"/>
    <col min="2829" max="2829" width="19.109375" style="1307" bestFit="1" customWidth="1"/>
    <col min="2830" max="2830" width="15.33203125" style="1307" customWidth="1"/>
    <col min="2831" max="2831" width="19.33203125" style="1307" customWidth="1"/>
    <col min="2832" max="2832" width="17.109375" style="1307" customWidth="1"/>
    <col min="2833" max="2833" width="19.44140625" style="1307" bestFit="1" customWidth="1"/>
    <col min="2834" max="2839" width="9.109375" style="1307" customWidth="1"/>
    <col min="2840" max="2840" width="13.77734375" style="1307" customWidth="1"/>
    <col min="2841" max="3072" width="9.109375" style="1307"/>
    <col min="3073" max="3073" width="15.109375" style="1307" customWidth="1"/>
    <col min="3074" max="3074" width="10.44140625" style="1307" customWidth="1"/>
    <col min="3075" max="3075" width="11.6640625" style="1307" customWidth="1"/>
    <col min="3076" max="3076" width="42.109375" style="1307" customWidth="1"/>
    <col min="3077" max="3077" width="0" style="1307" hidden="1" customWidth="1"/>
    <col min="3078" max="3078" width="16.33203125" style="1307" customWidth="1"/>
    <col min="3079" max="3079" width="15.109375" style="1307" customWidth="1"/>
    <col min="3080" max="3080" width="16.5546875" style="1307" customWidth="1"/>
    <col min="3081" max="3081" width="18.33203125" style="1307" bestFit="1" customWidth="1"/>
    <col min="3082" max="3082" width="12.77734375" style="1307" customWidth="1"/>
    <col min="3083" max="3083" width="16.33203125" style="1307" customWidth="1"/>
    <col min="3084" max="3084" width="15.6640625" style="1307" customWidth="1"/>
    <col min="3085" max="3085" width="19.109375" style="1307" bestFit="1" customWidth="1"/>
    <col min="3086" max="3086" width="15.33203125" style="1307" customWidth="1"/>
    <col min="3087" max="3087" width="19.33203125" style="1307" customWidth="1"/>
    <col min="3088" max="3088" width="17.109375" style="1307" customWidth="1"/>
    <col min="3089" max="3089" width="19.44140625" style="1307" bestFit="1" customWidth="1"/>
    <col min="3090" max="3095" width="9.109375" style="1307" customWidth="1"/>
    <col min="3096" max="3096" width="13.77734375" style="1307" customWidth="1"/>
    <col min="3097" max="3328" width="9.109375" style="1307"/>
    <col min="3329" max="3329" width="15.109375" style="1307" customWidth="1"/>
    <col min="3330" max="3330" width="10.44140625" style="1307" customWidth="1"/>
    <col min="3331" max="3331" width="11.6640625" style="1307" customWidth="1"/>
    <col min="3332" max="3332" width="42.109375" style="1307" customWidth="1"/>
    <col min="3333" max="3333" width="0" style="1307" hidden="1" customWidth="1"/>
    <col min="3334" max="3334" width="16.33203125" style="1307" customWidth="1"/>
    <col min="3335" max="3335" width="15.109375" style="1307" customWidth="1"/>
    <col min="3336" max="3336" width="16.5546875" style="1307" customWidth="1"/>
    <col min="3337" max="3337" width="18.33203125" style="1307" bestFit="1" customWidth="1"/>
    <col min="3338" max="3338" width="12.77734375" style="1307" customWidth="1"/>
    <col min="3339" max="3339" width="16.33203125" style="1307" customWidth="1"/>
    <col min="3340" max="3340" width="15.6640625" style="1307" customWidth="1"/>
    <col min="3341" max="3341" width="19.109375" style="1307" bestFit="1" customWidth="1"/>
    <col min="3342" max="3342" width="15.33203125" style="1307" customWidth="1"/>
    <col min="3343" max="3343" width="19.33203125" style="1307" customWidth="1"/>
    <col min="3344" max="3344" width="17.109375" style="1307" customWidth="1"/>
    <col min="3345" max="3345" width="19.44140625" style="1307" bestFit="1" customWidth="1"/>
    <col min="3346" max="3351" width="9.109375" style="1307" customWidth="1"/>
    <col min="3352" max="3352" width="13.77734375" style="1307" customWidth="1"/>
    <col min="3353" max="3584" width="9.109375" style="1307"/>
    <col min="3585" max="3585" width="15.109375" style="1307" customWidth="1"/>
    <col min="3586" max="3586" width="10.44140625" style="1307" customWidth="1"/>
    <col min="3587" max="3587" width="11.6640625" style="1307" customWidth="1"/>
    <col min="3588" max="3588" width="42.109375" style="1307" customWidth="1"/>
    <col min="3589" max="3589" width="0" style="1307" hidden="1" customWidth="1"/>
    <col min="3590" max="3590" width="16.33203125" style="1307" customWidth="1"/>
    <col min="3591" max="3591" width="15.109375" style="1307" customWidth="1"/>
    <col min="3592" max="3592" width="16.5546875" style="1307" customWidth="1"/>
    <col min="3593" max="3593" width="18.33203125" style="1307" bestFit="1" customWidth="1"/>
    <col min="3594" max="3594" width="12.77734375" style="1307" customWidth="1"/>
    <col min="3595" max="3595" width="16.33203125" style="1307" customWidth="1"/>
    <col min="3596" max="3596" width="15.6640625" style="1307" customWidth="1"/>
    <col min="3597" max="3597" width="19.109375" style="1307" bestFit="1" customWidth="1"/>
    <col min="3598" max="3598" width="15.33203125" style="1307" customWidth="1"/>
    <col min="3599" max="3599" width="19.33203125" style="1307" customWidth="1"/>
    <col min="3600" max="3600" width="17.109375" style="1307" customWidth="1"/>
    <col min="3601" max="3601" width="19.44140625" style="1307" bestFit="1" customWidth="1"/>
    <col min="3602" max="3607" width="9.109375" style="1307" customWidth="1"/>
    <col min="3608" max="3608" width="13.77734375" style="1307" customWidth="1"/>
    <col min="3609" max="3840" width="9.109375" style="1307"/>
    <col min="3841" max="3841" width="15.109375" style="1307" customWidth="1"/>
    <col min="3842" max="3842" width="10.44140625" style="1307" customWidth="1"/>
    <col min="3843" max="3843" width="11.6640625" style="1307" customWidth="1"/>
    <col min="3844" max="3844" width="42.109375" style="1307" customWidth="1"/>
    <col min="3845" max="3845" width="0" style="1307" hidden="1" customWidth="1"/>
    <col min="3846" max="3846" width="16.33203125" style="1307" customWidth="1"/>
    <col min="3847" max="3847" width="15.109375" style="1307" customWidth="1"/>
    <col min="3848" max="3848" width="16.5546875" style="1307" customWidth="1"/>
    <col min="3849" max="3849" width="18.33203125" style="1307" bestFit="1" customWidth="1"/>
    <col min="3850" max="3850" width="12.77734375" style="1307" customWidth="1"/>
    <col min="3851" max="3851" width="16.33203125" style="1307" customWidth="1"/>
    <col min="3852" max="3852" width="15.6640625" style="1307" customWidth="1"/>
    <col min="3853" max="3853" width="19.109375" style="1307" bestFit="1" customWidth="1"/>
    <col min="3854" max="3854" width="15.33203125" style="1307" customWidth="1"/>
    <col min="3855" max="3855" width="19.33203125" style="1307" customWidth="1"/>
    <col min="3856" max="3856" width="17.109375" style="1307" customWidth="1"/>
    <col min="3857" max="3857" width="19.44140625" style="1307" bestFit="1" customWidth="1"/>
    <col min="3858" max="3863" width="9.109375" style="1307" customWidth="1"/>
    <col min="3864" max="3864" width="13.77734375" style="1307" customWidth="1"/>
    <col min="3865" max="4096" width="9.109375" style="1307"/>
    <col min="4097" max="4097" width="15.109375" style="1307" customWidth="1"/>
    <col min="4098" max="4098" width="10.44140625" style="1307" customWidth="1"/>
    <col min="4099" max="4099" width="11.6640625" style="1307" customWidth="1"/>
    <col min="4100" max="4100" width="42.109375" style="1307" customWidth="1"/>
    <col min="4101" max="4101" width="0" style="1307" hidden="1" customWidth="1"/>
    <col min="4102" max="4102" width="16.33203125" style="1307" customWidth="1"/>
    <col min="4103" max="4103" width="15.109375" style="1307" customWidth="1"/>
    <col min="4104" max="4104" width="16.5546875" style="1307" customWidth="1"/>
    <col min="4105" max="4105" width="18.33203125" style="1307" bestFit="1" customWidth="1"/>
    <col min="4106" max="4106" width="12.77734375" style="1307" customWidth="1"/>
    <col min="4107" max="4107" width="16.33203125" style="1307" customWidth="1"/>
    <col min="4108" max="4108" width="15.6640625" style="1307" customWidth="1"/>
    <col min="4109" max="4109" width="19.109375" style="1307" bestFit="1" customWidth="1"/>
    <col min="4110" max="4110" width="15.33203125" style="1307" customWidth="1"/>
    <col min="4111" max="4111" width="19.33203125" style="1307" customWidth="1"/>
    <col min="4112" max="4112" width="17.109375" style="1307" customWidth="1"/>
    <col min="4113" max="4113" width="19.44140625" style="1307" bestFit="1" customWidth="1"/>
    <col min="4114" max="4119" width="9.109375" style="1307" customWidth="1"/>
    <col min="4120" max="4120" width="13.77734375" style="1307" customWidth="1"/>
    <col min="4121" max="4352" width="9.109375" style="1307"/>
    <col min="4353" max="4353" width="15.109375" style="1307" customWidth="1"/>
    <col min="4354" max="4354" width="10.44140625" style="1307" customWidth="1"/>
    <col min="4355" max="4355" width="11.6640625" style="1307" customWidth="1"/>
    <col min="4356" max="4356" width="42.109375" style="1307" customWidth="1"/>
    <col min="4357" max="4357" width="0" style="1307" hidden="1" customWidth="1"/>
    <col min="4358" max="4358" width="16.33203125" style="1307" customWidth="1"/>
    <col min="4359" max="4359" width="15.109375" style="1307" customWidth="1"/>
    <col min="4360" max="4360" width="16.5546875" style="1307" customWidth="1"/>
    <col min="4361" max="4361" width="18.33203125" style="1307" bestFit="1" customWidth="1"/>
    <col min="4362" max="4362" width="12.77734375" style="1307" customWidth="1"/>
    <col min="4363" max="4363" width="16.33203125" style="1307" customWidth="1"/>
    <col min="4364" max="4364" width="15.6640625" style="1307" customWidth="1"/>
    <col min="4365" max="4365" width="19.109375" style="1307" bestFit="1" customWidth="1"/>
    <col min="4366" max="4366" width="15.33203125" style="1307" customWidth="1"/>
    <col min="4367" max="4367" width="19.33203125" style="1307" customWidth="1"/>
    <col min="4368" max="4368" width="17.109375" style="1307" customWidth="1"/>
    <col min="4369" max="4369" width="19.44140625" style="1307" bestFit="1" customWidth="1"/>
    <col min="4370" max="4375" width="9.109375" style="1307" customWidth="1"/>
    <col min="4376" max="4376" width="13.77734375" style="1307" customWidth="1"/>
    <col min="4377" max="4608" width="9.109375" style="1307"/>
    <col min="4609" max="4609" width="15.109375" style="1307" customWidth="1"/>
    <col min="4610" max="4610" width="10.44140625" style="1307" customWidth="1"/>
    <col min="4611" max="4611" width="11.6640625" style="1307" customWidth="1"/>
    <col min="4612" max="4612" width="42.109375" style="1307" customWidth="1"/>
    <col min="4613" max="4613" width="0" style="1307" hidden="1" customWidth="1"/>
    <col min="4614" max="4614" width="16.33203125" style="1307" customWidth="1"/>
    <col min="4615" max="4615" width="15.109375" style="1307" customWidth="1"/>
    <col min="4616" max="4616" width="16.5546875" style="1307" customWidth="1"/>
    <col min="4617" max="4617" width="18.33203125" style="1307" bestFit="1" customWidth="1"/>
    <col min="4618" max="4618" width="12.77734375" style="1307" customWidth="1"/>
    <col min="4619" max="4619" width="16.33203125" style="1307" customWidth="1"/>
    <col min="4620" max="4620" width="15.6640625" style="1307" customWidth="1"/>
    <col min="4621" max="4621" width="19.109375" style="1307" bestFit="1" customWidth="1"/>
    <col min="4622" max="4622" width="15.33203125" style="1307" customWidth="1"/>
    <col min="4623" max="4623" width="19.33203125" style="1307" customWidth="1"/>
    <col min="4624" max="4624" width="17.109375" style="1307" customWidth="1"/>
    <col min="4625" max="4625" width="19.44140625" style="1307" bestFit="1" customWidth="1"/>
    <col min="4626" max="4631" width="9.109375" style="1307" customWidth="1"/>
    <col min="4632" max="4632" width="13.77734375" style="1307" customWidth="1"/>
    <col min="4633" max="4864" width="9.109375" style="1307"/>
    <col min="4865" max="4865" width="15.109375" style="1307" customWidth="1"/>
    <col min="4866" max="4866" width="10.44140625" style="1307" customWidth="1"/>
    <col min="4867" max="4867" width="11.6640625" style="1307" customWidth="1"/>
    <col min="4868" max="4868" width="42.109375" style="1307" customWidth="1"/>
    <col min="4869" max="4869" width="0" style="1307" hidden="1" customWidth="1"/>
    <col min="4870" max="4870" width="16.33203125" style="1307" customWidth="1"/>
    <col min="4871" max="4871" width="15.109375" style="1307" customWidth="1"/>
    <col min="4872" max="4872" width="16.5546875" style="1307" customWidth="1"/>
    <col min="4873" max="4873" width="18.33203125" style="1307" bestFit="1" customWidth="1"/>
    <col min="4874" max="4874" width="12.77734375" style="1307" customWidth="1"/>
    <col min="4875" max="4875" width="16.33203125" style="1307" customWidth="1"/>
    <col min="4876" max="4876" width="15.6640625" style="1307" customWidth="1"/>
    <col min="4877" max="4877" width="19.109375" style="1307" bestFit="1" customWidth="1"/>
    <col min="4878" max="4878" width="15.33203125" style="1307" customWidth="1"/>
    <col min="4879" max="4879" width="19.33203125" style="1307" customWidth="1"/>
    <col min="4880" max="4880" width="17.109375" style="1307" customWidth="1"/>
    <col min="4881" max="4881" width="19.44140625" style="1307" bestFit="1" customWidth="1"/>
    <col min="4882" max="4887" width="9.109375" style="1307" customWidth="1"/>
    <col min="4888" max="4888" width="13.77734375" style="1307" customWidth="1"/>
    <col min="4889" max="5120" width="9.109375" style="1307"/>
    <col min="5121" max="5121" width="15.109375" style="1307" customWidth="1"/>
    <col min="5122" max="5122" width="10.44140625" style="1307" customWidth="1"/>
    <col min="5123" max="5123" width="11.6640625" style="1307" customWidth="1"/>
    <col min="5124" max="5124" width="42.109375" style="1307" customWidth="1"/>
    <col min="5125" max="5125" width="0" style="1307" hidden="1" customWidth="1"/>
    <col min="5126" max="5126" width="16.33203125" style="1307" customWidth="1"/>
    <col min="5127" max="5127" width="15.109375" style="1307" customWidth="1"/>
    <col min="5128" max="5128" width="16.5546875" style="1307" customWidth="1"/>
    <col min="5129" max="5129" width="18.33203125" style="1307" bestFit="1" customWidth="1"/>
    <col min="5130" max="5130" width="12.77734375" style="1307" customWidth="1"/>
    <col min="5131" max="5131" width="16.33203125" style="1307" customWidth="1"/>
    <col min="5132" max="5132" width="15.6640625" style="1307" customWidth="1"/>
    <col min="5133" max="5133" width="19.109375" style="1307" bestFit="1" customWidth="1"/>
    <col min="5134" max="5134" width="15.33203125" style="1307" customWidth="1"/>
    <col min="5135" max="5135" width="19.33203125" style="1307" customWidth="1"/>
    <col min="5136" max="5136" width="17.109375" style="1307" customWidth="1"/>
    <col min="5137" max="5137" width="19.44140625" style="1307" bestFit="1" customWidth="1"/>
    <col min="5138" max="5143" width="9.109375" style="1307" customWidth="1"/>
    <col min="5144" max="5144" width="13.77734375" style="1307" customWidth="1"/>
    <col min="5145" max="5376" width="9.109375" style="1307"/>
    <col min="5377" max="5377" width="15.109375" style="1307" customWidth="1"/>
    <col min="5378" max="5378" width="10.44140625" style="1307" customWidth="1"/>
    <col min="5379" max="5379" width="11.6640625" style="1307" customWidth="1"/>
    <col min="5380" max="5380" width="42.109375" style="1307" customWidth="1"/>
    <col min="5381" max="5381" width="0" style="1307" hidden="1" customWidth="1"/>
    <col min="5382" max="5382" width="16.33203125" style="1307" customWidth="1"/>
    <col min="5383" max="5383" width="15.109375" style="1307" customWidth="1"/>
    <col min="5384" max="5384" width="16.5546875" style="1307" customWidth="1"/>
    <col min="5385" max="5385" width="18.33203125" style="1307" bestFit="1" customWidth="1"/>
    <col min="5386" max="5386" width="12.77734375" style="1307" customWidth="1"/>
    <col min="5387" max="5387" width="16.33203125" style="1307" customWidth="1"/>
    <col min="5388" max="5388" width="15.6640625" style="1307" customWidth="1"/>
    <col min="5389" max="5389" width="19.109375" style="1307" bestFit="1" customWidth="1"/>
    <col min="5390" max="5390" width="15.33203125" style="1307" customWidth="1"/>
    <col min="5391" max="5391" width="19.33203125" style="1307" customWidth="1"/>
    <col min="5392" max="5392" width="17.109375" style="1307" customWidth="1"/>
    <col min="5393" max="5393" width="19.44140625" style="1307" bestFit="1" customWidth="1"/>
    <col min="5394" max="5399" width="9.109375" style="1307" customWidth="1"/>
    <col min="5400" max="5400" width="13.77734375" style="1307" customWidth="1"/>
    <col min="5401" max="5632" width="9.109375" style="1307"/>
    <col min="5633" max="5633" width="15.109375" style="1307" customWidth="1"/>
    <col min="5634" max="5634" width="10.44140625" style="1307" customWidth="1"/>
    <col min="5635" max="5635" width="11.6640625" style="1307" customWidth="1"/>
    <col min="5636" max="5636" width="42.109375" style="1307" customWidth="1"/>
    <col min="5637" max="5637" width="0" style="1307" hidden="1" customWidth="1"/>
    <col min="5638" max="5638" width="16.33203125" style="1307" customWidth="1"/>
    <col min="5639" max="5639" width="15.109375" style="1307" customWidth="1"/>
    <col min="5640" max="5640" width="16.5546875" style="1307" customWidth="1"/>
    <col min="5641" max="5641" width="18.33203125" style="1307" bestFit="1" customWidth="1"/>
    <col min="5642" max="5642" width="12.77734375" style="1307" customWidth="1"/>
    <col min="5643" max="5643" width="16.33203125" style="1307" customWidth="1"/>
    <col min="5644" max="5644" width="15.6640625" style="1307" customWidth="1"/>
    <col min="5645" max="5645" width="19.109375" style="1307" bestFit="1" customWidth="1"/>
    <col min="5646" max="5646" width="15.33203125" style="1307" customWidth="1"/>
    <col min="5647" max="5647" width="19.33203125" style="1307" customWidth="1"/>
    <col min="5648" max="5648" width="17.109375" style="1307" customWidth="1"/>
    <col min="5649" max="5649" width="19.44140625" style="1307" bestFit="1" customWidth="1"/>
    <col min="5650" max="5655" width="9.109375" style="1307" customWidth="1"/>
    <col min="5656" max="5656" width="13.77734375" style="1307" customWidth="1"/>
    <col min="5657" max="5888" width="9.109375" style="1307"/>
    <col min="5889" max="5889" width="15.109375" style="1307" customWidth="1"/>
    <col min="5890" max="5890" width="10.44140625" style="1307" customWidth="1"/>
    <col min="5891" max="5891" width="11.6640625" style="1307" customWidth="1"/>
    <col min="5892" max="5892" width="42.109375" style="1307" customWidth="1"/>
    <col min="5893" max="5893" width="0" style="1307" hidden="1" customWidth="1"/>
    <col min="5894" max="5894" width="16.33203125" style="1307" customWidth="1"/>
    <col min="5895" max="5895" width="15.109375" style="1307" customWidth="1"/>
    <col min="5896" max="5896" width="16.5546875" style="1307" customWidth="1"/>
    <col min="5897" max="5897" width="18.33203125" style="1307" bestFit="1" customWidth="1"/>
    <col min="5898" max="5898" width="12.77734375" style="1307" customWidth="1"/>
    <col min="5899" max="5899" width="16.33203125" style="1307" customWidth="1"/>
    <col min="5900" max="5900" width="15.6640625" style="1307" customWidth="1"/>
    <col min="5901" max="5901" width="19.109375" style="1307" bestFit="1" customWidth="1"/>
    <col min="5902" max="5902" width="15.33203125" style="1307" customWidth="1"/>
    <col min="5903" max="5903" width="19.33203125" style="1307" customWidth="1"/>
    <col min="5904" max="5904" width="17.109375" style="1307" customWidth="1"/>
    <col min="5905" max="5905" width="19.44140625" style="1307" bestFit="1" customWidth="1"/>
    <col min="5906" max="5911" width="9.109375" style="1307" customWidth="1"/>
    <col min="5912" max="5912" width="13.77734375" style="1307" customWidth="1"/>
    <col min="5913" max="6144" width="9.109375" style="1307"/>
    <col min="6145" max="6145" width="15.109375" style="1307" customWidth="1"/>
    <col min="6146" max="6146" width="10.44140625" style="1307" customWidth="1"/>
    <col min="6147" max="6147" width="11.6640625" style="1307" customWidth="1"/>
    <col min="6148" max="6148" width="42.109375" style="1307" customWidth="1"/>
    <col min="6149" max="6149" width="0" style="1307" hidden="1" customWidth="1"/>
    <col min="6150" max="6150" width="16.33203125" style="1307" customWidth="1"/>
    <col min="6151" max="6151" width="15.109375" style="1307" customWidth="1"/>
    <col min="6152" max="6152" width="16.5546875" style="1307" customWidth="1"/>
    <col min="6153" max="6153" width="18.33203125" style="1307" bestFit="1" customWidth="1"/>
    <col min="6154" max="6154" width="12.77734375" style="1307" customWidth="1"/>
    <col min="6155" max="6155" width="16.33203125" style="1307" customWidth="1"/>
    <col min="6156" max="6156" width="15.6640625" style="1307" customWidth="1"/>
    <col min="6157" max="6157" width="19.109375" style="1307" bestFit="1" customWidth="1"/>
    <col min="6158" max="6158" width="15.33203125" style="1307" customWidth="1"/>
    <col min="6159" max="6159" width="19.33203125" style="1307" customWidth="1"/>
    <col min="6160" max="6160" width="17.109375" style="1307" customWidth="1"/>
    <col min="6161" max="6161" width="19.44140625" style="1307" bestFit="1" customWidth="1"/>
    <col min="6162" max="6167" width="9.109375" style="1307" customWidth="1"/>
    <col min="6168" max="6168" width="13.77734375" style="1307" customWidth="1"/>
    <col min="6169" max="6400" width="9.109375" style="1307"/>
    <col min="6401" max="6401" width="15.109375" style="1307" customWidth="1"/>
    <col min="6402" max="6402" width="10.44140625" style="1307" customWidth="1"/>
    <col min="6403" max="6403" width="11.6640625" style="1307" customWidth="1"/>
    <col min="6404" max="6404" width="42.109375" style="1307" customWidth="1"/>
    <col min="6405" max="6405" width="0" style="1307" hidden="1" customWidth="1"/>
    <col min="6406" max="6406" width="16.33203125" style="1307" customWidth="1"/>
    <col min="6407" max="6407" width="15.109375" style="1307" customWidth="1"/>
    <col min="6408" max="6408" width="16.5546875" style="1307" customWidth="1"/>
    <col min="6409" max="6409" width="18.33203125" style="1307" bestFit="1" customWidth="1"/>
    <col min="6410" max="6410" width="12.77734375" style="1307" customWidth="1"/>
    <col min="6411" max="6411" width="16.33203125" style="1307" customWidth="1"/>
    <col min="6412" max="6412" width="15.6640625" style="1307" customWidth="1"/>
    <col min="6413" max="6413" width="19.109375" style="1307" bestFit="1" customWidth="1"/>
    <col min="6414" max="6414" width="15.33203125" style="1307" customWidth="1"/>
    <col min="6415" max="6415" width="19.33203125" style="1307" customWidth="1"/>
    <col min="6416" max="6416" width="17.109375" style="1307" customWidth="1"/>
    <col min="6417" max="6417" width="19.44140625" style="1307" bestFit="1" customWidth="1"/>
    <col min="6418" max="6423" width="9.109375" style="1307" customWidth="1"/>
    <col min="6424" max="6424" width="13.77734375" style="1307" customWidth="1"/>
    <col min="6425" max="6656" width="9.109375" style="1307"/>
    <col min="6657" max="6657" width="15.109375" style="1307" customWidth="1"/>
    <col min="6658" max="6658" width="10.44140625" style="1307" customWidth="1"/>
    <col min="6659" max="6659" width="11.6640625" style="1307" customWidth="1"/>
    <col min="6660" max="6660" width="42.109375" style="1307" customWidth="1"/>
    <col min="6661" max="6661" width="0" style="1307" hidden="1" customWidth="1"/>
    <col min="6662" max="6662" width="16.33203125" style="1307" customWidth="1"/>
    <col min="6663" max="6663" width="15.109375" style="1307" customWidth="1"/>
    <col min="6664" max="6664" width="16.5546875" style="1307" customWidth="1"/>
    <col min="6665" max="6665" width="18.33203125" style="1307" bestFit="1" customWidth="1"/>
    <col min="6666" max="6666" width="12.77734375" style="1307" customWidth="1"/>
    <col min="6667" max="6667" width="16.33203125" style="1307" customWidth="1"/>
    <col min="6668" max="6668" width="15.6640625" style="1307" customWidth="1"/>
    <col min="6669" max="6669" width="19.109375" style="1307" bestFit="1" customWidth="1"/>
    <col min="6670" max="6670" width="15.33203125" style="1307" customWidth="1"/>
    <col min="6671" max="6671" width="19.33203125" style="1307" customWidth="1"/>
    <col min="6672" max="6672" width="17.109375" style="1307" customWidth="1"/>
    <col min="6673" max="6673" width="19.44140625" style="1307" bestFit="1" customWidth="1"/>
    <col min="6674" max="6679" width="9.109375" style="1307" customWidth="1"/>
    <col min="6680" max="6680" width="13.77734375" style="1307" customWidth="1"/>
    <col min="6681" max="6912" width="9.109375" style="1307"/>
    <col min="6913" max="6913" width="15.109375" style="1307" customWidth="1"/>
    <col min="6914" max="6914" width="10.44140625" style="1307" customWidth="1"/>
    <col min="6915" max="6915" width="11.6640625" style="1307" customWidth="1"/>
    <col min="6916" max="6916" width="42.109375" style="1307" customWidth="1"/>
    <col min="6917" max="6917" width="0" style="1307" hidden="1" customWidth="1"/>
    <col min="6918" max="6918" width="16.33203125" style="1307" customWidth="1"/>
    <col min="6919" max="6919" width="15.109375" style="1307" customWidth="1"/>
    <col min="6920" max="6920" width="16.5546875" style="1307" customWidth="1"/>
    <col min="6921" max="6921" width="18.33203125" style="1307" bestFit="1" customWidth="1"/>
    <col min="6922" max="6922" width="12.77734375" style="1307" customWidth="1"/>
    <col min="6923" max="6923" width="16.33203125" style="1307" customWidth="1"/>
    <col min="6924" max="6924" width="15.6640625" style="1307" customWidth="1"/>
    <col min="6925" max="6925" width="19.109375" style="1307" bestFit="1" customWidth="1"/>
    <col min="6926" max="6926" width="15.33203125" style="1307" customWidth="1"/>
    <col min="6927" max="6927" width="19.33203125" style="1307" customWidth="1"/>
    <col min="6928" max="6928" width="17.109375" style="1307" customWidth="1"/>
    <col min="6929" max="6929" width="19.44140625" style="1307" bestFit="1" customWidth="1"/>
    <col min="6930" max="6935" width="9.109375" style="1307" customWidth="1"/>
    <col min="6936" max="6936" width="13.77734375" style="1307" customWidth="1"/>
    <col min="6937" max="7168" width="9.109375" style="1307"/>
    <col min="7169" max="7169" width="15.109375" style="1307" customWidth="1"/>
    <col min="7170" max="7170" width="10.44140625" style="1307" customWidth="1"/>
    <col min="7171" max="7171" width="11.6640625" style="1307" customWidth="1"/>
    <col min="7172" max="7172" width="42.109375" style="1307" customWidth="1"/>
    <col min="7173" max="7173" width="0" style="1307" hidden="1" customWidth="1"/>
    <col min="7174" max="7174" width="16.33203125" style="1307" customWidth="1"/>
    <col min="7175" max="7175" width="15.109375" style="1307" customWidth="1"/>
    <col min="7176" max="7176" width="16.5546875" style="1307" customWidth="1"/>
    <col min="7177" max="7177" width="18.33203125" style="1307" bestFit="1" customWidth="1"/>
    <col min="7178" max="7178" width="12.77734375" style="1307" customWidth="1"/>
    <col min="7179" max="7179" width="16.33203125" style="1307" customWidth="1"/>
    <col min="7180" max="7180" width="15.6640625" style="1307" customWidth="1"/>
    <col min="7181" max="7181" width="19.109375" style="1307" bestFit="1" customWidth="1"/>
    <col min="7182" max="7182" width="15.33203125" style="1307" customWidth="1"/>
    <col min="7183" max="7183" width="19.33203125" style="1307" customWidth="1"/>
    <col min="7184" max="7184" width="17.109375" style="1307" customWidth="1"/>
    <col min="7185" max="7185" width="19.44140625" style="1307" bestFit="1" customWidth="1"/>
    <col min="7186" max="7191" width="9.109375" style="1307" customWidth="1"/>
    <col min="7192" max="7192" width="13.77734375" style="1307" customWidth="1"/>
    <col min="7193" max="7424" width="9.109375" style="1307"/>
    <col min="7425" max="7425" width="15.109375" style="1307" customWidth="1"/>
    <col min="7426" max="7426" width="10.44140625" style="1307" customWidth="1"/>
    <col min="7427" max="7427" width="11.6640625" style="1307" customWidth="1"/>
    <col min="7428" max="7428" width="42.109375" style="1307" customWidth="1"/>
    <col min="7429" max="7429" width="0" style="1307" hidden="1" customWidth="1"/>
    <col min="7430" max="7430" width="16.33203125" style="1307" customWidth="1"/>
    <col min="7431" max="7431" width="15.109375" style="1307" customWidth="1"/>
    <col min="7432" max="7432" width="16.5546875" style="1307" customWidth="1"/>
    <col min="7433" max="7433" width="18.33203125" style="1307" bestFit="1" customWidth="1"/>
    <col min="7434" max="7434" width="12.77734375" style="1307" customWidth="1"/>
    <col min="7435" max="7435" width="16.33203125" style="1307" customWidth="1"/>
    <col min="7436" max="7436" width="15.6640625" style="1307" customWidth="1"/>
    <col min="7437" max="7437" width="19.109375" style="1307" bestFit="1" customWidth="1"/>
    <col min="7438" max="7438" width="15.33203125" style="1307" customWidth="1"/>
    <col min="7439" max="7439" width="19.33203125" style="1307" customWidth="1"/>
    <col min="7440" max="7440" width="17.109375" style="1307" customWidth="1"/>
    <col min="7441" max="7441" width="19.44140625" style="1307" bestFit="1" customWidth="1"/>
    <col min="7442" max="7447" width="9.109375" style="1307" customWidth="1"/>
    <col min="7448" max="7448" width="13.77734375" style="1307" customWidth="1"/>
    <col min="7449" max="7680" width="9.109375" style="1307"/>
    <col min="7681" max="7681" width="15.109375" style="1307" customWidth="1"/>
    <col min="7682" max="7682" width="10.44140625" style="1307" customWidth="1"/>
    <col min="7683" max="7683" width="11.6640625" style="1307" customWidth="1"/>
    <col min="7684" max="7684" width="42.109375" style="1307" customWidth="1"/>
    <col min="7685" max="7685" width="0" style="1307" hidden="1" customWidth="1"/>
    <col min="7686" max="7686" width="16.33203125" style="1307" customWidth="1"/>
    <col min="7687" max="7687" width="15.109375" style="1307" customWidth="1"/>
    <col min="7688" max="7688" width="16.5546875" style="1307" customWidth="1"/>
    <col min="7689" max="7689" width="18.33203125" style="1307" bestFit="1" customWidth="1"/>
    <col min="7690" max="7690" width="12.77734375" style="1307" customWidth="1"/>
    <col min="7691" max="7691" width="16.33203125" style="1307" customWidth="1"/>
    <col min="7692" max="7692" width="15.6640625" style="1307" customWidth="1"/>
    <col min="7693" max="7693" width="19.109375" style="1307" bestFit="1" customWidth="1"/>
    <col min="7694" max="7694" width="15.33203125" style="1307" customWidth="1"/>
    <col min="7695" max="7695" width="19.33203125" style="1307" customWidth="1"/>
    <col min="7696" max="7696" width="17.109375" style="1307" customWidth="1"/>
    <col min="7697" max="7697" width="19.44140625" style="1307" bestFit="1" customWidth="1"/>
    <col min="7698" max="7703" width="9.109375" style="1307" customWidth="1"/>
    <col min="7704" max="7704" width="13.77734375" style="1307" customWidth="1"/>
    <col min="7705" max="7936" width="9.109375" style="1307"/>
    <col min="7937" max="7937" width="15.109375" style="1307" customWidth="1"/>
    <col min="7938" max="7938" width="10.44140625" style="1307" customWidth="1"/>
    <col min="7939" max="7939" width="11.6640625" style="1307" customWidth="1"/>
    <col min="7940" max="7940" width="42.109375" style="1307" customWidth="1"/>
    <col min="7941" max="7941" width="0" style="1307" hidden="1" customWidth="1"/>
    <col min="7942" max="7942" width="16.33203125" style="1307" customWidth="1"/>
    <col min="7943" max="7943" width="15.109375" style="1307" customWidth="1"/>
    <col min="7944" max="7944" width="16.5546875" style="1307" customWidth="1"/>
    <col min="7945" max="7945" width="18.33203125" style="1307" bestFit="1" customWidth="1"/>
    <col min="7946" max="7946" width="12.77734375" style="1307" customWidth="1"/>
    <col min="7947" max="7947" width="16.33203125" style="1307" customWidth="1"/>
    <col min="7948" max="7948" width="15.6640625" style="1307" customWidth="1"/>
    <col min="7949" max="7949" width="19.109375" style="1307" bestFit="1" customWidth="1"/>
    <col min="7950" max="7950" width="15.33203125" style="1307" customWidth="1"/>
    <col min="7951" max="7951" width="19.33203125" style="1307" customWidth="1"/>
    <col min="7952" max="7952" width="17.109375" style="1307" customWidth="1"/>
    <col min="7953" max="7953" width="19.44140625" style="1307" bestFit="1" customWidth="1"/>
    <col min="7954" max="7959" width="9.109375" style="1307" customWidth="1"/>
    <col min="7960" max="7960" width="13.77734375" style="1307" customWidth="1"/>
    <col min="7961" max="8192" width="9.109375" style="1307"/>
    <col min="8193" max="8193" width="15.109375" style="1307" customWidth="1"/>
    <col min="8194" max="8194" width="10.44140625" style="1307" customWidth="1"/>
    <col min="8195" max="8195" width="11.6640625" style="1307" customWidth="1"/>
    <col min="8196" max="8196" width="42.109375" style="1307" customWidth="1"/>
    <col min="8197" max="8197" width="0" style="1307" hidden="1" customWidth="1"/>
    <col min="8198" max="8198" width="16.33203125" style="1307" customWidth="1"/>
    <col min="8199" max="8199" width="15.109375" style="1307" customWidth="1"/>
    <col min="8200" max="8200" width="16.5546875" style="1307" customWidth="1"/>
    <col min="8201" max="8201" width="18.33203125" style="1307" bestFit="1" customWidth="1"/>
    <col min="8202" max="8202" width="12.77734375" style="1307" customWidth="1"/>
    <col min="8203" max="8203" width="16.33203125" style="1307" customWidth="1"/>
    <col min="8204" max="8204" width="15.6640625" style="1307" customWidth="1"/>
    <col min="8205" max="8205" width="19.109375" style="1307" bestFit="1" customWidth="1"/>
    <col min="8206" max="8206" width="15.33203125" style="1307" customWidth="1"/>
    <col min="8207" max="8207" width="19.33203125" style="1307" customWidth="1"/>
    <col min="8208" max="8208" width="17.109375" style="1307" customWidth="1"/>
    <col min="8209" max="8209" width="19.44140625" style="1307" bestFit="1" customWidth="1"/>
    <col min="8210" max="8215" width="9.109375" style="1307" customWidth="1"/>
    <col min="8216" max="8216" width="13.77734375" style="1307" customWidth="1"/>
    <col min="8217" max="8448" width="9.109375" style="1307"/>
    <col min="8449" max="8449" width="15.109375" style="1307" customWidth="1"/>
    <col min="8450" max="8450" width="10.44140625" style="1307" customWidth="1"/>
    <col min="8451" max="8451" width="11.6640625" style="1307" customWidth="1"/>
    <col min="8452" max="8452" width="42.109375" style="1307" customWidth="1"/>
    <col min="8453" max="8453" width="0" style="1307" hidden="1" customWidth="1"/>
    <col min="8454" max="8454" width="16.33203125" style="1307" customWidth="1"/>
    <col min="8455" max="8455" width="15.109375" style="1307" customWidth="1"/>
    <col min="8456" max="8456" width="16.5546875" style="1307" customWidth="1"/>
    <col min="8457" max="8457" width="18.33203125" style="1307" bestFit="1" customWidth="1"/>
    <col min="8458" max="8458" width="12.77734375" style="1307" customWidth="1"/>
    <col min="8459" max="8459" width="16.33203125" style="1307" customWidth="1"/>
    <col min="8460" max="8460" width="15.6640625" style="1307" customWidth="1"/>
    <col min="8461" max="8461" width="19.109375" style="1307" bestFit="1" customWidth="1"/>
    <col min="8462" max="8462" width="15.33203125" style="1307" customWidth="1"/>
    <col min="8463" max="8463" width="19.33203125" style="1307" customWidth="1"/>
    <col min="8464" max="8464" width="17.109375" style="1307" customWidth="1"/>
    <col min="8465" max="8465" width="19.44140625" style="1307" bestFit="1" customWidth="1"/>
    <col min="8466" max="8471" width="9.109375" style="1307" customWidth="1"/>
    <col min="8472" max="8472" width="13.77734375" style="1307" customWidth="1"/>
    <col min="8473" max="8704" width="9.109375" style="1307"/>
    <col min="8705" max="8705" width="15.109375" style="1307" customWidth="1"/>
    <col min="8706" max="8706" width="10.44140625" style="1307" customWidth="1"/>
    <col min="8707" max="8707" width="11.6640625" style="1307" customWidth="1"/>
    <col min="8708" max="8708" width="42.109375" style="1307" customWidth="1"/>
    <col min="8709" max="8709" width="0" style="1307" hidden="1" customWidth="1"/>
    <col min="8710" max="8710" width="16.33203125" style="1307" customWidth="1"/>
    <col min="8711" max="8711" width="15.109375" style="1307" customWidth="1"/>
    <col min="8712" max="8712" width="16.5546875" style="1307" customWidth="1"/>
    <col min="8713" max="8713" width="18.33203125" style="1307" bestFit="1" customWidth="1"/>
    <col min="8714" max="8714" width="12.77734375" style="1307" customWidth="1"/>
    <col min="8715" max="8715" width="16.33203125" style="1307" customWidth="1"/>
    <col min="8716" max="8716" width="15.6640625" style="1307" customWidth="1"/>
    <col min="8717" max="8717" width="19.109375" style="1307" bestFit="1" customWidth="1"/>
    <col min="8718" max="8718" width="15.33203125" style="1307" customWidth="1"/>
    <col min="8719" max="8719" width="19.33203125" style="1307" customWidth="1"/>
    <col min="8720" max="8720" width="17.109375" style="1307" customWidth="1"/>
    <col min="8721" max="8721" width="19.44140625" style="1307" bestFit="1" customWidth="1"/>
    <col min="8722" max="8727" width="9.109375" style="1307" customWidth="1"/>
    <col min="8728" max="8728" width="13.77734375" style="1307" customWidth="1"/>
    <col min="8729" max="8960" width="9.109375" style="1307"/>
    <col min="8961" max="8961" width="15.109375" style="1307" customWidth="1"/>
    <col min="8962" max="8962" width="10.44140625" style="1307" customWidth="1"/>
    <col min="8963" max="8963" width="11.6640625" style="1307" customWidth="1"/>
    <col min="8964" max="8964" width="42.109375" style="1307" customWidth="1"/>
    <col min="8965" max="8965" width="0" style="1307" hidden="1" customWidth="1"/>
    <col min="8966" max="8966" width="16.33203125" style="1307" customWidth="1"/>
    <col min="8967" max="8967" width="15.109375" style="1307" customWidth="1"/>
    <col min="8968" max="8968" width="16.5546875" style="1307" customWidth="1"/>
    <col min="8969" max="8969" width="18.33203125" style="1307" bestFit="1" customWidth="1"/>
    <col min="8970" max="8970" width="12.77734375" style="1307" customWidth="1"/>
    <col min="8971" max="8971" width="16.33203125" style="1307" customWidth="1"/>
    <col min="8972" max="8972" width="15.6640625" style="1307" customWidth="1"/>
    <col min="8973" max="8973" width="19.109375" style="1307" bestFit="1" customWidth="1"/>
    <col min="8974" max="8974" width="15.33203125" style="1307" customWidth="1"/>
    <col min="8975" max="8975" width="19.33203125" style="1307" customWidth="1"/>
    <col min="8976" max="8976" width="17.109375" style="1307" customWidth="1"/>
    <col min="8977" max="8977" width="19.44140625" style="1307" bestFit="1" customWidth="1"/>
    <col min="8978" max="8983" width="9.109375" style="1307" customWidth="1"/>
    <col min="8984" max="8984" width="13.77734375" style="1307" customWidth="1"/>
    <col min="8985" max="9216" width="9.109375" style="1307"/>
    <col min="9217" max="9217" width="15.109375" style="1307" customWidth="1"/>
    <col min="9218" max="9218" width="10.44140625" style="1307" customWidth="1"/>
    <col min="9219" max="9219" width="11.6640625" style="1307" customWidth="1"/>
    <col min="9220" max="9220" width="42.109375" style="1307" customWidth="1"/>
    <col min="9221" max="9221" width="0" style="1307" hidden="1" customWidth="1"/>
    <col min="9222" max="9222" width="16.33203125" style="1307" customWidth="1"/>
    <col min="9223" max="9223" width="15.109375" style="1307" customWidth="1"/>
    <col min="9224" max="9224" width="16.5546875" style="1307" customWidth="1"/>
    <col min="9225" max="9225" width="18.33203125" style="1307" bestFit="1" customWidth="1"/>
    <col min="9226" max="9226" width="12.77734375" style="1307" customWidth="1"/>
    <col min="9227" max="9227" width="16.33203125" style="1307" customWidth="1"/>
    <col min="9228" max="9228" width="15.6640625" style="1307" customWidth="1"/>
    <col min="9229" max="9229" width="19.109375" style="1307" bestFit="1" customWidth="1"/>
    <col min="9230" max="9230" width="15.33203125" style="1307" customWidth="1"/>
    <col min="9231" max="9231" width="19.33203125" style="1307" customWidth="1"/>
    <col min="9232" max="9232" width="17.109375" style="1307" customWidth="1"/>
    <col min="9233" max="9233" width="19.44140625" style="1307" bestFit="1" customWidth="1"/>
    <col min="9234" max="9239" width="9.109375" style="1307" customWidth="1"/>
    <col min="9240" max="9240" width="13.77734375" style="1307" customWidth="1"/>
    <col min="9241" max="9472" width="9.109375" style="1307"/>
    <col min="9473" max="9473" width="15.109375" style="1307" customWidth="1"/>
    <col min="9474" max="9474" width="10.44140625" style="1307" customWidth="1"/>
    <col min="9475" max="9475" width="11.6640625" style="1307" customWidth="1"/>
    <col min="9476" max="9476" width="42.109375" style="1307" customWidth="1"/>
    <col min="9477" max="9477" width="0" style="1307" hidden="1" customWidth="1"/>
    <col min="9478" max="9478" width="16.33203125" style="1307" customWidth="1"/>
    <col min="9479" max="9479" width="15.109375" style="1307" customWidth="1"/>
    <col min="9480" max="9480" width="16.5546875" style="1307" customWidth="1"/>
    <col min="9481" max="9481" width="18.33203125" style="1307" bestFit="1" customWidth="1"/>
    <col min="9482" max="9482" width="12.77734375" style="1307" customWidth="1"/>
    <col min="9483" max="9483" width="16.33203125" style="1307" customWidth="1"/>
    <col min="9484" max="9484" width="15.6640625" style="1307" customWidth="1"/>
    <col min="9485" max="9485" width="19.109375" style="1307" bestFit="1" customWidth="1"/>
    <col min="9486" max="9486" width="15.33203125" style="1307" customWidth="1"/>
    <col min="9487" max="9487" width="19.33203125" style="1307" customWidth="1"/>
    <col min="9488" max="9488" width="17.109375" style="1307" customWidth="1"/>
    <col min="9489" max="9489" width="19.44140625" style="1307" bestFit="1" customWidth="1"/>
    <col min="9490" max="9495" width="9.109375" style="1307" customWidth="1"/>
    <col min="9496" max="9496" width="13.77734375" style="1307" customWidth="1"/>
    <col min="9497" max="9728" width="9.109375" style="1307"/>
    <col min="9729" max="9729" width="15.109375" style="1307" customWidth="1"/>
    <col min="9730" max="9730" width="10.44140625" style="1307" customWidth="1"/>
    <col min="9731" max="9731" width="11.6640625" style="1307" customWidth="1"/>
    <col min="9732" max="9732" width="42.109375" style="1307" customWidth="1"/>
    <col min="9733" max="9733" width="0" style="1307" hidden="1" customWidth="1"/>
    <col min="9734" max="9734" width="16.33203125" style="1307" customWidth="1"/>
    <col min="9735" max="9735" width="15.109375" style="1307" customWidth="1"/>
    <col min="9736" max="9736" width="16.5546875" style="1307" customWidth="1"/>
    <col min="9737" max="9737" width="18.33203125" style="1307" bestFit="1" customWidth="1"/>
    <col min="9738" max="9738" width="12.77734375" style="1307" customWidth="1"/>
    <col min="9739" max="9739" width="16.33203125" style="1307" customWidth="1"/>
    <col min="9740" max="9740" width="15.6640625" style="1307" customWidth="1"/>
    <col min="9741" max="9741" width="19.109375" style="1307" bestFit="1" customWidth="1"/>
    <col min="9742" max="9742" width="15.33203125" style="1307" customWidth="1"/>
    <col min="9743" max="9743" width="19.33203125" style="1307" customWidth="1"/>
    <col min="9744" max="9744" width="17.109375" style="1307" customWidth="1"/>
    <col min="9745" max="9745" width="19.44140625" style="1307" bestFit="1" customWidth="1"/>
    <col min="9746" max="9751" width="9.109375" style="1307" customWidth="1"/>
    <col min="9752" max="9752" width="13.77734375" style="1307" customWidth="1"/>
    <col min="9753" max="9984" width="9.109375" style="1307"/>
    <col min="9985" max="9985" width="15.109375" style="1307" customWidth="1"/>
    <col min="9986" max="9986" width="10.44140625" style="1307" customWidth="1"/>
    <col min="9987" max="9987" width="11.6640625" style="1307" customWidth="1"/>
    <col min="9988" max="9988" width="42.109375" style="1307" customWidth="1"/>
    <col min="9989" max="9989" width="0" style="1307" hidden="1" customWidth="1"/>
    <col min="9990" max="9990" width="16.33203125" style="1307" customWidth="1"/>
    <col min="9991" max="9991" width="15.109375" style="1307" customWidth="1"/>
    <col min="9992" max="9992" width="16.5546875" style="1307" customWidth="1"/>
    <col min="9993" max="9993" width="18.33203125" style="1307" bestFit="1" customWidth="1"/>
    <col min="9994" max="9994" width="12.77734375" style="1307" customWidth="1"/>
    <col min="9995" max="9995" width="16.33203125" style="1307" customWidth="1"/>
    <col min="9996" max="9996" width="15.6640625" style="1307" customWidth="1"/>
    <col min="9997" max="9997" width="19.109375" style="1307" bestFit="1" customWidth="1"/>
    <col min="9998" max="9998" width="15.33203125" style="1307" customWidth="1"/>
    <col min="9999" max="9999" width="19.33203125" style="1307" customWidth="1"/>
    <col min="10000" max="10000" width="17.109375" style="1307" customWidth="1"/>
    <col min="10001" max="10001" width="19.44140625" style="1307" bestFit="1" customWidth="1"/>
    <col min="10002" max="10007" width="9.109375" style="1307" customWidth="1"/>
    <col min="10008" max="10008" width="13.77734375" style="1307" customWidth="1"/>
    <col min="10009" max="10240" width="9.109375" style="1307"/>
    <col min="10241" max="10241" width="15.109375" style="1307" customWidth="1"/>
    <col min="10242" max="10242" width="10.44140625" style="1307" customWidth="1"/>
    <col min="10243" max="10243" width="11.6640625" style="1307" customWidth="1"/>
    <col min="10244" max="10244" width="42.109375" style="1307" customWidth="1"/>
    <col min="10245" max="10245" width="0" style="1307" hidden="1" customWidth="1"/>
    <col min="10246" max="10246" width="16.33203125" style="1307" customWidth="1"/>
    <col min="10247" max="10247" width="15.109375" style="1307" customWidth="1"/>
    <col min="10248" max="10248" width="16.5546875" style="1307" customWidth="1"/>
    <col min="10249" max="10249" width="18.33203125" style="1307" bestFit="1" customWidth="1"/>
    <col min="10250" max="10250" width="12.77734375" style="1307" customWidth="1"/>
    <col min="10251" max="10251" width="16.33203125" style="1307" customWidth="1"/>
    <col min="10252" max="10252" width="15.6640625" style="1307" customWidth="1"/>
    <col min="10253" max="10253" width="19.109375" style="1307" bestFit="1" customWidth="1"/>
    <col min="10254" max="10254" width="15.33203125" style="1307" customWidth="1"/>
    <col min="10255" max="10255" width="19.33203125" style="1307" customWidth="1"/>
    <col min="10256" max="10256" width="17.109375" style="1307" customWidth="1"/>
    <col min="10257" max="10257" width="19.44140625" style="1307" bestFit="1" customWidth="1"/>
    <col min="10258" max="10263" width="9.109375" style="1307" customWidth="1"/>
    <col min="10264" max="10264" width="13.77734375" style="1307" customWidth="1"/>
    <col min="10265" max="10496" width="9.109375" style="1307"/>
    <col min="10497" max="10497" width="15.109375" style="1307" customWidth="1"/>
    <col min="10498" max="10498" width="10.44140625" style="1307" customWidth="1"/>
    <col min="10499" max="10499" width="11.6640625" style="1307" customWidth="1"/>
    <col min="10500" max="10500" width="42.109375" style="1307" customWidth="1"/>
    <col min="10501" max="10501" width="0" style="1307" hidden="1" customWidth="1"/>
    <col min="10502" max="10502" width="16.33203125" style="1307" customWidth="1"/>
    <col min="10503" max="10503" width="15.109375" style="1307" customWidth="1"/>
    <col min="10504" max="10504" width="16.5546875" style="1307" customWidth="1"/>
    <col min="10505" max="10505" width="18.33203125" style="1307" bestFit="1" customWidth="1"/>
    <col min="10506" max="10506" width="12.77734375" style="1307" customWidth="1"/>
    <col min="10507" max="10507" width="16.33203125" style="1307" customWidth="1"/>
    <col min="10508" max="10508" width="15.6640625" style="1307" customWidth="1"/>
    <col min="10509" max="10509" width="19.109375" style="1307" bestFit="1" customWidth="1"/>
    <col min="10510" max="10510" width="15.33203125" style="1307" customWidth="1"/>
    <col min="10511" max="10511" width="19.33203125" style="1307" customWidth="1"/>
    <col min="10512" max="10512" width="17.109375" style="1307" customWidth="1"/>
    <col min="10513" max="10513" width="19.44140625" style="1307" bestFit="1" customWidth="1"/>
    <col min="10514" max="10519" width="9.109375" style="1307" customWidth="1"/>
    <col min="10520" max="10520" width="13.77734375" style="1307" customWidth="1"/>
    <col min="10521" max="10752" width="9.109375" style="1307"/>
    <col min="10753" max="10753" width="15.109375" style="1307" customWidth="1"/>
    <col min="10754" max="10754" width="10.44140625" style="1307" customWidth="1"/>
    <col min="10755" max="10755" width="11.6640625" style="1307" customWidth="1"/>
    <col min="10756" max="10756" width="42.109375" style="1307" customWidth="1"/>
    <col min="10757" max="10757" width="0" style="1307" hidden="1" customWidth="1"/>
    <col min="10758" max="10758" width="16.33203125" style="1307" customWidth="1"/>
    <col min="10759" max="10759" width="15.109375" style="1307" customWidth="1"/>
    <col min="10760" max="10760" width="16.5546875" style="1307" customWidth="1"/>
    <col min="10761" max="10761" width="18.33203125" style="1307" bestFit="1" customWidth="1"/>
    <col min="10762" max="10762" width="12.77734375" style="1307" customWidth="1"/>
    <col min="10763" max="10763" width="16.33203125" style="1307" customWidth="1"/>
    <col min="10764" max="10764" width="15.6640625" style="1307" customWidth="1"/>
    <col min="10765" max="10765" width="19.109375" style="1307" bestFit="1" customWidth="1"/>
    <col min="10766" max="10766" width="15.33203125" style="1307" customWidth="1"/>
    <col min="10767" max="10767" width="19.33203125" style="1307" customWidth="1"/>
    <col min="10768" max="10768" width="17.109375" style="1307" customWidth="1"/>
    <col min="10769" max="10769" width="19.44140625" style="1307" bestFit="1" customWidth="1"/>
    <col min="10770" max="10775" width="9.109375" style="1307" customWidth="1"/>
    <col min="10776" max="10776" width="13.77734375" style="1307" customWidth="1"/>
    <col min="10777" max="11008" width="9.109375" style="1307"/>
    <col min="11009" max="11009" width="15.109375" style="1307" customWidth="1"/>
    <col min="11010" max="11010" width="10.44140625" style="1307" customWidth="1"/>
    <col min="11011" max="11011" width="11.6640625" style="1307" customWidth="1"/>
    <col min="11012" max="11012" width="42.109375" style="1307" customWidth="1"/>
    <col min="11013" max="11013" width="0" style="1307" hidden="1" customWidth="1"/>
    <col min="11014" max="11014" width="16.33203125" style="1307" customWidth="1"/>
    <col min="11015" max="11015" width="15.109375" style="1307" customWidth="1"/>
    <col min="11016" max="11016" width="16.5546875" style="1307" customWidth="1"/>
    <col min="11017" max="11017" width="18.33203125" style="1307" bestFit="1" customWidth="1"/>
    <col min="11018" max="11018" width="12.77734375" style="1307" customWidth="1"/>
    <col min="11019" max="11019" width="16.33203125" style="1307" customWidth="1"/>
    <col min="11020" max="11020" width="15.6640625" style="1307" customWidth="1"/>
    <col min="11021" max="11021" width="19.109375" style="1307" bestFit="1" customWidth="1"/>
    <col min="11022" max="11022" width="15.33203125" style="1307" customWidth="1"/>
    <col min="11023" max="11023" width="19.33203125" style="1307" customWidth="1"/>
    <col min="11024" max="11024" width="17.109375" style="1307" customWidth="1"/>
    <col min="11025" max="11025" width="19.44140625" style="1307" bestFit="1" customWidth="1"/>
    <col min="11026" max="11031" width="9.109375" style="1307" customWidth="1"/>
    <col min="11032" max="11032" width="13.77734375" style="1307" customWidth="1"/>
    <col min="11033" max="11264" width="9.109375" style="1307"/>
    <col min="11265" max="11265" width="15.109375" style="1307" customWidth="1"/>
    <col min="11266" max="11266" width="10.44140625" style="1307" customWidth="1"/>
    <col min="11267" max="11267" width="11.6640625" style="1307" customWidth="1"/>
    <col min="11268" max="11268" width="42.109375" style="1307" customWidth="1"/>
    <col min="11269" max="11269" width="0" style="1307" hidden="1" customWidth="1"/>
    <col min="11270" max="11270" width="16.33203125" style="1307" customWidth="1"/>
    <col min="11271" max="11271" width="15.109375" style="1307" customWidth="1"/>
    <col min="11272" max="11272" width="16.5546875" style="1307" customWidth="1"/>
    <col min="11273" max="11273" width="18.33203125" style="1307" bestFit="1" customWidth="1"/>
    <col min="11274" max="11274" width="12.77734375" style="1307" customWidth="1"/>
    <col min="11275" max="11275" width="16.33203125" style="1307" customWidth="1"/>
    <col min="11276" max="11276" width="15.6640625" style="1307" customWidth="1"/>
    <col min="11277" max="11277" width="19.109375" style="1307" bestFit="1" customWidth="1"/>
    <col min="11278" max="11278" width="15.33203125" style="1307" customWidth="1"/>
    <col min="11279" max="11279" width="19.33203125" style="1307" customWidth="1"/>
    <col min="11280" max="11280" width="17.109375" style="1307" customWidth="1"/>
    <col min="11281" max="11281" width="19.44140625" style="1307" bestFit="1" customWidth="1"/>
    <col min="11282" max="11287" width="9.109375" style="1307" customWidth="1"/>
    <col min="11288" max="11288" width="13.77734375" style="1307" customWidth="1"/>
    <col min="11289" max="11520" width="9.109375" style="1307"/>
    <col min="11521" max="11521" width="15.109375" style="1307" customWidth="1"/>
    <col min="11522" max="11522" width="10.44140625" style="1307" customWidth="1"/>
    <col min="11523" max="11523" width="11.6640625" style="1307" customWidth="1"/>
    <col min="11524" max="11524" width="42.109375" style="1307" customWidth="1"/>
    <col min="11525" max="11525" width="0" style="1307" hidden="1" customWidth="1"/>
    <col min="11526" max="11526" width="16.33203125" style="1307" customWidth="1"/>
    <col min="11527" max="11527" width="15.109375" style="1307" customWidth="1"/>
    <col min="11528" max="11528" width="16.5546875" style="1307" customWidth="1"/>
    <col min="11529" max="11529" width="18.33203125" style="1307" bestFit="1" customWidth="1"/>
    <col min="11530" max="11530" width="12.77734375" style="1307" customWidth="1"/>
    <col min="11531" max="11531" width="16.33203125" style="1307" customWidth="1"/>
    <col min="11532" max="11532" width="15.6640625" style="1307" customWidth="1"/>
    <col min="11533" max="11533" width="19.109375" style="1307" bestFit="1" customWidth="1"/>
    <col min="11534" max="11534" width="15.33203125" style="1307" customWidth="1"/>
    <col min="11535" max="11535" width="19.33203125" style="1307" customWidth="1"/>
    <col min="11536" max="11536" width="17.109375" style="1307" customWidth="1"/>
    <col min="11537" max="11537" width="19.44140625" style="1307" bestFit="1" customWidth="1"/>
    <col min="11538" max="11543" width="9.109375" style="1307" customWidth="1"/>
    <col min="11544" max="11544" width="13.77734375" style="1307" customWidth="1"/>
    <col min="11545" max="11776" width="9.109375" style="1307"/>
    <col min="11777" max="11777" width="15.109375" style="1307" customWidth="1"/>
    <col min="11778" max="11778" width="10.44140625" style="1307" customWidth="1"/>
    <col min="11779" max="11779" width="11.6640625" style="1307" customWidth="1"/>
    <col min="11780" max="11780" width="42.109375" style="1307" customWidth="1"/>
    <col min="11781" max="11781" width="0" style="1307" hidden="1" customWidth="1"/>
    <col min="11782" max="11782" width="16.33203125" style="1307" customWidth="1"/>
    <col min="11783" max="11783" width="15.109375" style="1307" customWidth="1"/>
    <col min="11784" max="11784" width="16.5546875" style="1307" customWidth="1"/>
    <col min="11785" max="11785" width="18.33203125" style="1307" bestFit="1" customWidth="1"/>
    <col min="11786" max="11786" width="12.77734375" style="1307" customWidth="1"/>
    <col min="11787" max="11787" width="16.33203125" style="1307" customWidth="1"/>
    <col min="11788" max="11788" width="15.6640625" style="1307" customWidth="1"/>
    <col min="11789" max="11789" width="19.109375" style="1307" bestFit="1" customWidth="1"/>
    <col min="11790" max="11790" width="15.33203125" style="1307" customWidth="1"/>
    <col min="11791" max="11791" width="19.33203125" style="1307" customWidth="1"/>
    <col min="11792" max="11792" width="17.109375" style="1307" customWidth="1"/>
    <col min="11793" max="11793" width="19.44140625" style="1307" bestFit="1" customWidth="1"/>
    <col min="11794" max="11799" width="9.109375" style="1307" customWidth="1"/>
    <col min="11800" max="11800" width="13.77734375" style="1307" customWidth="1"/>
    <col min="11801" max="12032" width="9.109375" style="1307"/>
    <col min="12033" max="12033" width="15.109375" style="1307" customWidth="1"/>
    <col min="12034" max="12034" width="10.44140625" style="1307" customWidth="1"/>
    <col min="12035" max="12035" width="11.6640625" style="1307" customWidth="1"/>
    <col min="12036" max="12036" width="42.109375" style="1307" customWidth="1"/>
    <col min="12037" max="12037" width="0" style="1307" hidden="1" customWidth="1"/>
    <col min="12038" max="12038" width="16.33203125" style="1307" customWidth="1"/>
    <col min="12039" max="12039" width="15.109375" style="1307" customWidth="1"/>
    <col min="12040" max="12040" width="16.5546875" style="1307" customWidth="1"/>
    <col min="12041" max="12041" width="18.33203125" style="1307" bestFit="1" customWidth="1"/>
    <col min="12042" max="12042" width="12.77734375" style="1307" customWidth="1"/>
    <col min="12043" max="12043" width="16.33203125" style="1307" customWidth="1"/>
    <col min="12044" max="12044" width="15.6640625" style="1307" customWidth="1"/>
    <col min="12045" max="12045" width="19.109375" style="1307" bestFit="1" customWidth="1"/>
    <col min="12046" max="12046" width="15.33203125" style="1307" customWidth="1"/>
    <col min="12047" max="12047" width="19.33203125" style="1307" customWidth="1"/>
    <col min="12048" max="12048" width="17.109375" style="1307" customWidth="1"/>
    <col min="12049" max="12049" width="19.44140625" style="1307" bestFit="1" customWidth="1"/>
    <col min="12050" max="12055" width="9.109375" style="1307" customWidth="1"/>
    <col min="12056" max="12056" width="13.77734375" style="1307" customWidth="1"/>
    <col min="12057" max="12288" width="9.109375" style="1307"/>
    <col min="12289" max="12289" width="15.109375" style="1307" customWidth="1"/>
    <col min="12290" max="12290" width="10.44140625" style="1307" customWidth="1"/>
    <col min="12291" max="12291" width="11.6640625" style="1307" customWidth="1"/>
    <col min="12292" max="12292" width="42.109375" style="1307" customWidth="1"/>
    <col min="12293" max="12293" width="0" style="1307" hidden="1" customWidth="1"/>
    <col min="12294" max="12294" width="16.33203125" style="1307" customWidth="1"/>
    <col min="12295" max="12295" width="15.109375" style="1307" customWidth="1"/>
    <col min="12296" max="12296" width="16.5546875" style="1307" customWidth="1"/>
    <col min="12297" max="12297" width="18.33203125" style="1307" bestFit="1" customWidth="1"/>
    <col min="12298" max="12298" width="12.77734375" style="1307" customWidth="1"/>
    <col min="12299" max="12299" width="16.33203125" style="1307" customWidth="1"/>
    <col min="12300" max="12300" width="15.6640625" style="1307" customWidth="1"/>
    <col min="12301" max="12301" width="19.109375" style="1307" bestFit="1" customWidth="1"/>
    <col min="12302" max="12302" width="15.33203125" style="1307" customWidth="1"/>
    <col min="12303" max="12303" width="19.33203125" style="1307" customWidth="1"/>
    <col min="12304" max="12304" width="17.109375" style="1307" customWidth="1"/>
    <col min="12305" max="12305" width="19.44140625" style="1307" bestFit="1" customWidth="1"/>
    <col min="12306" max="12311" width="9.109375" style="1307" customWidth="1"/>
    <col min="12312" max="12312" width="13.77734375" style="1307" customWidth="1"/>
    <col min="12313" max="12544" width="9.109375" style="1307"/>
    <col min="12545" max="12545" width="15.109375" style="1307" customWidth="1"/>
    <col min="12546" max="12546" width="10.44140625" style="1307" customWidth="1"/>
    <col min="12547" max="12547" width="11.6640625" style="1307" customWidth="1"/>
    <col min="12548" max="12548" width="42.109375" style="1307" customWidth="1"/>
    <col min="12549" max="12549" width="0" style="1307" hidden="1" customWidth="1"/>
    <col min="12550" max="12550" width="16.33203125" style="1307" customWidth="1"/>
    <col min="12551" max="12551" width="15.109375" style="1307" customWidth="1"/>
    <col min="12552" max="12552" width="16.5546875" style="1307" customWidth="1"/>
    <col min="12553" max="12553" width="18.33203125" style="1307" bestFit="1" customWidth="1"/>
    <col min="12554" max="12554" width="12.77734375" style="1307" customWidth="1"/>
    <col min="12555" max="12555" width="16.33203125" style="1307" customWidth="1"/>
    <col min="12556" max="12556" width="15.6640625" style="1307" customWidth="1"/>
    <col min="12557" max="12557" width="19.109375" style="1307" bestFit="1" customWidth="1"/>
    <col min="12558" max="12558" width="15.33203125" style="1307" customWidth="1"/>
    <col min="12559" max="12559" width="19.33203125" style="1307" customWidth="1"/>
    <col min="12560" max="12560" width="17.109375" style="1307" customWidth="1"/>
    <col min="12561" max="12561" width="19.44140625" style="1307" bestFit="1" customWidth="1"/>
    <col min="12562" max="12567" width="9.109375" style="1307" customWidth="1"/>
    <col min="12568" max="12568" width="13.77734375" style="1307" customWidth="1"/>
    <col min="12569" max="12800" width="9.109375" style="1307"/>
    <col min="12801" max="12801" width="15.109375" style="1307" customWidth="1"/>
    <col min="12802" max="12802" width="10.44140625" style="1307" customWidth="1"/>
    <col min="12803" max="12803" width="11.6640625" style="1307" customWidth="1"/>
    <col min="12804" max="12804" width="42.109375" style="1307" customWidth="1"/>
    <col min="12805" max="12805" width="0" style="1307" hidden="1" customWidth="1"/>
    <col min="12806" max="12806" width="16.33203125" style="1307" customWidth="1"/>
    <col min="12807" max="12807" width="15.109375" style="1307" customWidth="1"/>
    <col min="12808" max="12808" width="16.5546875" style="1307" customWidth="1"/>
    <col min="12809" max="12809" width="18.33203125" style="1307" bestFit="1" customWidth="1"/>
    <col min="12810" max="12810" width="12.77734375" style="1307" customWidth="1"/>
    <col min="12811" max="12811" width="16.33203125" style="1307" customWidth="1"/>
    <col min="12812" max="12812" width="15.6640625" style="1307" customWidth="1"/>
    <col min="12813" max="12813" width="19.109375" style="1307" bestFit="1" customWidth="1"/>
    <col min="12814" max="12814" width="15.33203125" style="1307" customWidth="1"/>
    <col min="12815" max="12815" width="19.33203125" style="1307" customWidth="1"/>
    <col min="12816" max="12816" width="17.109375" style="1307" customWidth="1"/>
    <col min="12817" max="12817" width="19.44140625" style="1307" bestFit="1" customWidth="1"/>
    <col min="12818" max="12823" width="9.109375" style="1307" customWidth="1"/>
    <col min="12824" max="12824" width="13.77734375" style="1307" customWidth="1"/>
    <col min="12825" max="13056" width="9.109375" style="1307"/>
    <col min="13057" max="13057" width="15.109375" style="1307" customWidth="1"/>
    <col min="13058" max="13058" width="10.44140625" style="1307" customWidth="1"/>
    <col min="13059" max="13059" width="11.6640625" style="1307" customWidth="1"/>
    <col min="13060" max="13060" width="42.109375" style="1307" customWidth="1"/>
    <col min="13061" max="13061" width="0" style="1307" hidden="1" customWidth="1"/>
    <col min="13062" max="13062" width="16.33203125" style="1307" customWidth="1"/>
    <col min="13063" max="13063" width="15.109375" style="1307" customWidth="1"/>
    <col min="13064" max="13064" width="16.5546875" style="1307" customWidth="1"/>
    <col min="13065" max="13065" width="18.33203125" style="1307" bestFit="1" customWidth="1"/>
    <col min="13066" max="13066" width="12.77734375" style="1307" customWidth="1"/>
    <col min="13067" max="13067" width="16.33203125" style="1307" customWidth="1"/>
    <col min="13068" max="13068" width="15.6640625" style="1307" customWidth="1"/>
    <col min="13069" max="13069" width="19.109375" style="1307" bestFit="1" customWidth="1"/>
    <col min="13070" max="13070" width="15.33203125" style="1307" customWidth="1"/>
    <col min="13071" max="13071" width="19.33203125" style="1307" customWidth="1"/>
    <col min="13072" max="13072" width="17.109375" style="1307" customWidth="1"/>
    <col min="13073" max="13073" width="19.44140625" style="1307" bestFit="1" customWidth="1"/>
    <col min="13074" max="13079" width="9.109375" style="1307" customWidth="1"/>
    <col min="13080" max="13080" width="13.77734375" style="1307" customWidth="1"/>
    <col min="13081" max="13312" width="9.109375" style="1307"/>
    <col min="13313" max="13313" width="15.109375" style="1307" customWidth="1"/>
    <col min="13314" max="13314" width="10.44140625" style="1307" customWidth="1"/>
    <col min="13315" max="13315" width="11.6640625" style="1307" customWidth="1"/>
    <col min="13316" max="13316" width="42.109375" style="1307" customWidth="1"/>
    <col min="13317" max="13317" width="0" style="1307" hidden="1" customWidth="1"/>
    <col min="13318" max="13318" width="16.33203125" style="1307" customWidth="1"/>
    <col min="13319" max="13319" width="15.109375" style="1307" customWidth="1"/>
    <col min="13320" max="13320" width="16.5546875" style="1307" customWidth="1"/>
    <col min="13321" max="13321" width="18.33203125" style="1307" bestFit="1" customWidth="1"/>
    <col min="13322" max="13322" width="12.77734375" style="1307" customWidth="1"/>
    <col min="13323" max="13323" width="16.33203125" style="1307" customWidth="1"/>
    <col min="13324" max="13324" width="15.6640625" style="1307" customWidth="1"/>
    <col min="13325" max="13325" width="19.109375" style="1307" bestFit="1" customWidth="1"/>
    <col min="13326" max="13326" width="15.33203125" style="1307" customWidth="1"/>
    <col min="13327" max="13327" width="19.33203125" style="1307" customWidth="1"/>
    <col min="13328" max="13328" width="17.109375" style="1307" customWidth="1"/>
    <col min="13329" max="13329" width="19.44140625" style="1307" bestFit="1" customWidth="1"/>
    <col min="13330" max="13335" width="9.109375" style="1307" customWidth="1"/>
    <col min="13336" max="13336" width="13.77734375" style="1307" customWidth="1"/>
    <col min="13337" max="13568" width="9.109375" style="1307"/>
    <col min="13569" max="13569" width="15.109375" style="1307" customWidth="1"/>
    <col min="13570" max="13570" width="10.44140625" style="1307" customWidth="1"/>
    <col min="13571" max="13571" width="11.6640625" style="1307" customWidth="1"/>
    <col min="13572" max="13572" width="42.109375" style="1307" customWidth="1"/>
    <col min="13573" max="13573" width="0" style="1307" hidden="1" customWidth="1"/>
    <col min="13574" max="13574" width="16.33203125" style="1307" customWidth="1"/>
    <col min="13575" max="13575" width="15.109375" style="1307" customWidth="1"/>
    <col min="13576" max="13576" width="16.5546875" style="1307" customWidth="1"/>
    <col min="13577" max="13577" width="18.33203125" style="1307" bestFit="1" customWidth="1"/>
    <col min="13578" max="13578" width="12.77734375" style="1307" customWidth="1"/>
    <col min="13579" max="13579" width="16.33203125" style="1307" customWidth="1"/>
    <col min="13580" max="13580" width="15.6640625" style="1307" customWidth="1"/>
    <col min="13581" max="13581" width="19.109375" style="1307" bestFit="1" customWidth="1"/>
    <col min="13582" max="13582" width="15.33203125" style="1307" customWidth="1"/>
    <col min="13583" max="13583" width="19.33203125" style="1307" customWidth="1"/>
    <col min="13584" max="13584" width="17.109375" style="1307" customWidth="1"/>
    <col min="13585" max="13585" width="19.44140625" style="1307" bestFit="1" customWidth="1"/>
    <col min="13586" max="13591" width="9.109375" style="1307" customWidth="1"/>
    <col min="13592" max="13592" width="13.77734375" style="1307" customWidth="1"/>
    <col min="13593" max="13824" width="9.109375" style="1307"/>
    <col min="13825" max="13825" width="15.109375" style="1307" customWidth="1"/>
    <col min="13826" max="13826" width="10.44140625" style="1307" customWidth="1"/>
    <col min="13827" max="13827" width="11.6640625" style="1307" customWidth="1"/>
    <col min="13828" max="13828" width="42.109375" style="1307" customWidth="1"/>
    <col min="13829" max="13829" width="0" style="1307" hidden="1" customWidth="1"/>
    <col min="13830" max="13830" width="16.33203125" style="1307" customWidth="1"/>
    <col min="13831" max="13831" width="15.109375" style="1307" customWidth="1"/>
    <col min="13832" max="13832" width="16.5546875" style="1307" customWidth="1"/>
    <col min="13833" max="13833" width="18.33203125" style="1307" bestFit="1" customWidth="1"/>
    <col min="13834" max="13834" width="12.77734375" style="1307" customWidth="1"/>
    <col min="13835" max="13835" width="16.33203125" style="1307" customWidth="1"/>
    <col min="13836" max="13836" width="15.6640625" style="1307" customWidth="1"/>
    <col min="13837" max="13837" width="19.109375" style="1307" bestFit="1" customWidth="1"/>
    <col min="13838" max="13838" width="15.33203125" style="1307" customWidth="1"/>
    <col min="13839" max="13839" width="19.33203125" style="1307" customWidth="1"/>
    <col min="13840" max="13840" width="17.109375" style="1307" customWidth="1"/>
    <col min="13841" max="13841" width="19.44140625" style="1307" bestFit="1" customWidth="1"/>
    <col min="13842" max="13847" width="9.109375" style="1307" customWidth="1"/>
    <col min="13848" max="13848" width="13.77734375" style="1307" customWidth="1"/>
    <col min="13849" max="14080" width="9.109375" style="1307"/>
    <col min="14081" max="14081" width="15.109375" style="1307" customWidth="1"/>
    <col min="14082" max="14082" width="10.44140625" style="1307" customWidth="1"/>
    <col min="14083" max="14083" width="11.6640625" style="1307" customWidth="1"/>
    <col min="14084" max="14084" width="42.109375" style="1307" customWidth="1"/>
    <col min="14085" max="14085" width="0" style="1307" hidden="1" customWidth="1"/>
    <col min="14086" max="14086" width="16.33203125" style="1307" customWidth="1"/>
    <col min="14087" max="14087" width="15.109375" style="1307" customWidth="1"/>
    <col min="14088" max="14088" width="16.5546875" style="1307" customWidth="1"/>
    <col min="14089" max="14089" width="18.33203125" style="1307" bestFit="1" customWidth="1"/>
    <col min="14090" max="14090" width="12.77734375" style="1307" customWidth="1"/>
    <col min="14091" max="14091" width="16.33203125" style="1307" customWidth="1"/>
    <col min="14092" max="14092" width="15.6640625" style="1307" customWidth="1"/>
    <col min="14093" max="14093" width="19.109375" style="1307" bestFit="1" customWidth="1"/>
    <col min="14094" max="14094" width="15.33203125" style="1307" customWidth="1"/>
    <col min="14095" max="14095" width="19.33203125" style="1307" customWidth="1"/>
    <col min="14096" max="14096" width="17.109375" style="1307" customWidth="1"/>
    <col min="14097" max="14097" width="19.44140625" style="1307" bestFit="1" customWidth="1"/>
    <col min="14098" max="14103" width="9.109375" style="1307" customWidth="1"/>
    <col min="14104" max="14104" width="13.77734375" style="1307" customWidth="1"/>
    <col min="14105" max="14336" width="9.109375" style="1307"/>
    <col min="14337" max="14337" width="15.109375" style="1307" customWidth="1"/>
    <col min="14338" max="14338" width="10.44140625" style="1307" customWidth="1"/>
    <col min="14339" max="14339" width="11.6640625" style="1307" customWidth="1"/>
    <col min="14340" max="14340" width="42.109375" style="1307" customWidth="1"/>
    <col min="14341" max="14341" width="0" style="1307" hidden="1" customWidth="1"/>
    <col min="14342" max="14342" width="16.33203125" style="1307" customWidth="1"/>
    <col min="14343" max="14343" width="15.109375" style="1307" customWidth="1"/>
    <col min="14344" max="14344" width="16.5546875" style="1307" customWidth="1"/>
    <col min="14345" max="14345" width="18.33203125" style="1307" bestFit="1" customWidth="1"/>
    <col min="14346" max="14346" width="12.77734375" style="1307" customWidth="1"/>
    <col min="14347" max="14347" width="16.33203125" style="1307" customWidth="1"/>
    <col min="14348" max="14348" width="15.6640625" style="1307" customWidth="1"/>
    <col min="14349" max="14349" width="19.109375" style="1307" bestFit="1" customWidth="1"/>
    <col min="14350" max="14350" width="15.33203125" style="1307" customWidth="1"/>
    <col min="14351" max="14351" width="19.33203125" style="1307" customWidth="1"/>
    <col min="14352" max="14352" width="17.109375" style="1307" customWidth="1"/>
    <col min="14353" max="14353" width="19.44140625" style="1307" bestFit="1" customWidth="1"/>
    <col min="14354" max="14359" width="9.109375" style="1307" customWidth="1"/>
    <col min="14360" max="14360" width="13.77734375" style="1307" customWidth="1"/>
    <col min="14361" max="14592" width="9.109375" style="1307"/>
    <col min="14593" max="14593" width="15.109375" style="1307" customWidth="1"/>
    <col min="14594" max="14594" width="10.44140625" style="1307" customWidth="1"/>
    <col min="14595" max="14595" width="11.6640625" style="1307" customWidth="1"/>
    <col min="14596" max="14596" width="42.109375" style="1307" customWidth="1"/>
    <col min="14597" max="14597" width="0" style="1307" hidden="1" customWidth="1"/>
    <col min="14598" max="14598" width="16.33203125" style="1307" customWidth="1"/>
    <col min="14599" max="14599" width="15.109375" style="1307" customWidth="1"/>
    <col min="14600" max="14600" width="16.5546875" style="1307" customWidth="1"/>
    <col min="14601" max="14601" width="18.33203125" style="1307" bestFit="1" customWidth="1"/>
    <col min="14602" max="14602" width="12.77734375" style="1307" customWidth="1"/>
    <col min="14603" max="14603" width="16.33203125" style="1307" customWidth="1"/>
    <col min="14604" max="14604" width="15.6640625" style="1307" customWidth="1"/>
    <col min="14605" max="14605" width="19.109375" style="1307" bestFit="1" customWidth="1"/>
    <col min="14606" max="14606" width="15.33203125" style="1307" customWidth="1"/>
    <col min="14607" max="14607" width="19.33203125" style="1307" customWidth="1"/>
    <col min="14608" max="14608" width="17.109375" style="1307" customWidth="1"/>
    <col min="14609" max="14609" width="19.44140625" style="1307" bestFit="1" customWidth="1"/>
    <col min="14610" max="14615" width="9.109375" style="1307" customWidth="1"/>
    <col min="14616" max="14616" width="13.77734375" style="1307" customWidth="1"/>
    <col min="14617" max="14848" width="9.109375" style="1307"/>
    <col min="14849" max="14849" width="15.109375" style="1307" customWidth="1"/>
    <col min="14850" max="14850" width="10.44140625" style="1307" customWidth="1"/>
    <col min="14851" max="14851" width="11.6640625" style="1307" customWidth="1"/>
    <col min="14852" max="14852" width="42.109375" style="1307" customWidth="1"/>
    <col min="14853" max="14853" width="0" style="1307" hidden="1" customWidth="1"/>
    <col min="14854" max="14854" width="16.33203125" style="1307" customWidth="1"/>
    <col min="14855" max="14855" width="15.109375" style="1307" customWidth="1"/>
    <col min="14856" max="14856" width="16.5546875" style="1307" customWidth="1"/>
    <col min="14857" max="14857" width="18.33203125" style="1307" bestFit="1" customWidth="1"/>
    <col min="14858" max="14858" width="12.77734375" style="1307" customWidth="1"/>
    <col min="14859" max="14859" width="16.33203125" style="1307" customWidth="1"/>
    <col min="14860" max="14860" width="15.6640625" style="1307" customWidth="1"/>
    <col min="14861" max="14861" width="19.109375" style="1307" bestFit="1" customWidth="1"/>
    <col min="14862" max="14862" width="15.33203125" style="1307" customWidth="1"/>
    <col min="14863" max="14863" width="19.33203125" style="1307" customWidth="1"/>
    <col min="14864" max="14864" width="17.109375" style="1307" customWidth="1"/>
    <col min="14865" max="14865" width="19.44140625" style="1307" bestFit="1" customWidth="1"/>
    <col min="14866" max="14871" width="9.109375" style="1307" customWidth="1"/>
    <col min="14872" max="14872" width="13.77734375" style="1307" customWidth="1"/>
    <col min="14873" max="15104" width="9.109375" style="1307"/>
    <col min="15105" max="15105" width="15.109375" style="1307" customWidth="1"/>
    <col min="15106" max="15106" width="10.44140625" style="1307" customWidth="1"/>
    <col min="15107" max="15107" width="11.6640625" style="1307" customWidth="1"/>
    <col min="15108" max="15108" width="42.109375" style="1307" customWidth="1"/>
    <col min="15109" max="15109" width="0" style="1307" hidden="1" customWidth="1"/>
    <col min="15110" max="15110" width="16.33203125" style="1307" customWidth="1"/>
    <col min="15111" max="15111" width="15.109375" style="1307" customWidth="1"/>
    <col min="15112" max="15112" width="16.5546875" style="1307" customWidth="1"/>
    <col min="15113" max="15113" width="18.33203125" style="1307" bestFit="1" customWidth="1"/>
    <col min="15114" max="15114" width="12.77734375" style="1307" customWidth="1"/>
    <col min="15115" max="15115" width="16.33203125" style="1307" customWidth="1"/>
    <col min="15116" max="15116" width="15.6640625" style="1307" customWidth="1"/>
    <col min="15117" max="15117" width="19.109375" style="1307" bestFit="1" customWidth="1"/>
    <col min="15118" max="15118" width="15.33203125" style="1307" customWidth="1"/>
    <col min="15119" max="15119" width="19.33203125" style="1307" customWidth="1"/>
    <col min="15120" max="15120" width="17.109375" style="1307" customWidth="1"/>
    <col min="15121" max="15121" width="19.44140625" style="1307" bestFit="1" customWidth="1"/>
    <col min="15122" max="15127" width="9.109375" style="1307" customWidth="1"/>
    <col min="15128" max="15128" width="13.77734375" style="1307" customWidth="1"/>
    <col min="15129" max="15360" width="9.109375" style="1307"/>
    <col min="15361" max="15361" width="15.109375" style="1307" customWidth="1"/>
    <col min="15362" max="15362" width="10.44140625" style="1307" customWidth="1"/>
    <col min="15363" max="15363" width="11.6640625" style="1307" customWidth="1"/>
    <col min="15364" max="15364" width="42.109375" style="1307" customWidth="1"/>
    <col min="15365" max="15365" width="0" style="1307" hidden="1" customWidth="1"/>
    <col min="15366" max="15366" width="16.33203125" style="1307" customWidth="1"/>
    <col min="15367" max="15367" width="15.109375" style="1307" customWidth="1"/>
    <col min="15368" max="15368" width="16.5546875" style="1307" customWidth="1"/>
    <col min="15369" max="15369" width="18.33203125" style="1307" bestFit="1" customWidth="1"/>
    <col min="15370" max="15370" width="12.77734375" style="1307" customWidth="1"/>
    <col min="15371" max="15371" width="16.33203125" style="1307" customWidth="1"/>
    <col min="15372" max="15372" width="15.6640625" style="1307" customWidth="1"/>
    <col min="15373" max="15373" width="19.109375" style="1307" bestFit="1" customWidth="1"/>
    <col min="15374" max="15374" width="15.33203125" style="1307" customWidth="1"/>
    <col min="15375" max="15375" width="19.33203125" style="1307" customWidth="1"/>
    <col min="15376" max="15376" width="17.109375" style="1307" customWidth="1"/>
    <col min="15377" max="15377" width="19.44140625" style="1307" bestFit="1" customWidth="1"/>
    <col min="15378" max="15383" width="9.109375" style="1307" customWidth="1"/>
    <col min="15384" max="15384" width="13.77734375" style="1307" customWidth="1"/>
    <col min="15385" max="15616" width="9.109375" style="1307"/>
    <col min="15617" max="15617" width="15.109375" style="1307" customWidth="1"/>
    <col min="15618" max="15618" width="10.44140625" style="1307" customWidth="1"/>
    <col min="15619" max="15619" width="11.6640625" style="1307" customWidth="1"/>
    <col min="15620" max="15620" width="42.109375" style="1307" customWidth="1"/>
    <col min="15621" max="15621" width="0" style="1307" hidden="1" customWidth="1"/>
    <col min="15622" max="15622" width="16.33203125" style="1307" customWidth="1"/>
    <col min="15623" max="15623" width="15.109375" style="1307" customWidth="1"/>
    <col min="15624" max="15624" width="16.5546875" style="1307" customWidth="1"/>
    <col min="15625" max="15625" width="18.33203125" style="1307" bestFit="1" customWidth="1"/>
    <col min="15626" max="15626" width="12.77734375" style="1307" customWidth="1"/>
    <col min="15627" max="15627" width="16.33203125" style="1307" customWidth="1"/>
    <col min="15628" max="15628" width="15.6640625" style="1307" customWidth="1"/>
    <col min="15629" max="15629" width="19.109375" style="1307" bestFit="1" customWidth="1"/>
    <col min="15630" max="15630" width="15.33203125" style="1307" customWidth="1"/>
    <col min="15631" max="15631" width="19.33203125" style="1307" customWidth="1"/>
    <col min="15632" max="15632" width="17.109375" style="1307" customWidth="1"/>
    <col min="15633" max="15633" width="19.44140625" style="1307" bestFit="1" customWidth="1"/>
    <col min="15634" max="15639" width="9.109375" style="1307" customWidth="1"/>
    <col min="15640" max="15640" width="13.77734375" style="1307" customWidth="1"/>
    <col min="15641" max="15872" width="9.109375" style="1307"/>
    <col min="15873" max="15873" width="15.109375" style="1307" customWidth="1"/>
    <col min="15874" max="15874" width="10.44140625" style="1307" customWidth="1"/>
    <col min="15875" max="15875" width="11.6640625" style="1307" customWidth="1"/>
    <col min="15876" max="15876" width="42.109375" style="1307" customWidth="1"/>
    <col min="15877" max="15877" width="0" style="1307" hidden="1" customWidth="1"/>
    <col min="15878" max="15878" width="16.33203125" style="1307" customWidth="1"/>
    <col min="15879" max="15879" width="15.109375" style="1307" customWidth="1"/>
    <col min="15880" max="15880" width="16.5546875" style="1307" customWidth="1"/>
    <col min="15881" max="15881" width="18.33203125" style="1307" bestFit="1" customWidth="1"/>
    <col min="15882" max="15882" width="12.77734375" style="1307" customWidth="1"/>
    <col min="15883" max="15883" width="16.33203125" style="1307" customWidth="1"/>
    <col min="15884" max="15884" width="15.6640625" style="1307" customWidth="1"/>
    <col min="15885" max="15885" width="19.109375" style="1307" bestFit="1" customWidth="1"/>
    <col min="15886" max="15886" width="15.33203125" style="1307" customWidth="1"/>
    <col min="15887" max="15887" width="19.33203125" style="1307" customWidth="1"/>
    <col min="15888" max="15888" width="17.109375" style="1307" customWidth="1"/>
    <col min="15889" max="15889" width="19.44140625" style="1307" bestFit="1" customWidth="1"/>
    <col min="15890" max="15895" width="9.109375" style="1307" customWidth="1"/>
    <col min="15896" max="15896" width="13.77734375" style="1307" customWidth="1"/>
    <col min="15897" max="16128" width="9.109375" style="1307"/>
    <col min="16129" max="16129" width="15.109375" style="1307" customWidth="1"/>
    <col min="16130" max="16130" width="10.44140625" style="1307" customWidth="1"/>
    <col min="16131" max="16131" width="11.6640625" style="1307" customWidth="1"/>
    <col min="16132" max="16132" width="42.109375" style="1307" customWidth="1"/>
    <col min="16133" max="16133" width="0" style="1307" hidden="1" customWidth="1"/>
    <col min="16134" max="16134" width="16.33203125" style="1307" customWidth="1"/>
    <col min="16135" max="16135" width="15.109375" style="1307" customWidth="1"/>
    <col min="16136" max="16136" width="16.5546875" style="1307" customWidth="1"/>
    <col min="16137" max="16137" width="18.33203125" style="1307" bestFit="1" customWidth="1"/>
    <col min="16138" max="16138" width="12.77734375" style="1307" customWidth="1"/>
    <col min="16139" max="16139" width="16.33203125" style="1307" customWidth="1"/>
    <col min="16140" max="16140" width="15.6640625" style="1307" customWidth="1"/>
    <col min="16141" max="16141" width="19.109375" style="1307" bestFit="1" customWidth="1"/>
    <col min="16142" max="16142" width="15.33203125" style="1307" customWidth="1"/>
    <col min="16143" max="16143" width="19.33203125" style="1307" customWidth="1"/>
    <col min="16144" max="16144" width="17.109375" style="1307" customWidth="1"/>
    <col min="16145" max="16145" width="19.44140625" style="1307" bestFit="1" customWidth="1"/>
    <col min="16146" max="16151" width="9.109375" style="1307" customWidth="1"/>
    <col min="16152" max="16152" width="13.77734375" style="1307" customWidth="1"/>
    <col min="16153" max="16384" width="9.109375" style="1307"/>
  </cols>
  <sheetData>
    <row r="2" spans="1:21" ht="94.8" customHeight="1" x14ac:dyDescent="0.25">
      <c r="A2" s="1074"/>
      <c r="B2" s="1074"/>
      <c r="C2" s="1074"/>
      <c r="D2" s="1074"/>
      <c r="E2" s="1306"/>
      <c r="F2" s="1306"/>
      <c r="G2" s="1306"/>
      <c r="H2" s="1306"/>
      <c r="I2" s="1306"/>
      <c r="J2" s="1306"/>
      <c r="K2" s="1306"/>
      <c r="L2" s="1306"/>
      <c r="N2" s="1075"/>
      <c r="O2" s="1075"/>
      <c r="P2" s="1851" t="s">
        <v>1492</v>
      </c>
      <c r="Q2" s="1851"/>
    </row>
    <row r="3" spans="1:21" ht="22.65" customHeight="1" x14ac:dyDescent="0.25">
      <c r="A3" s="1899" t="s">
        <v>1493</v>
      </c>
      <c r="B3" s="1899"/>
      <c r="C3" s="1899"/>
      <c r="D3" s="1899"/>
      <c r="E3" s="1899"/>
      <c r="F3" s="1899"/>
      <c r="G3" s="1899"/>
      <c r="H3" s="1899"/>
      <c r="I3" s="1899"/>
      <c r="J3" s="1899"/>
      <c r="K3" s="1899"/>
      <c r="L3" s="1899"/>
      <c r="M3" s="1899"/>
      <c r="N3" s="1899"/>
      <c r="O3" s="1899"/>
      <c r="P3" s="1899"/>
      <c r="Q3" s="1899"/>
    </row>
    <row r="4" spans="1:21" ht="33" customHeight="1" x14ac:dyDescent="0.25">
      <c r="A4" s="1899"/>
      <c r="B4" s="1899"/>
      <c r="C4" s="1899"/>
      <c r="D4" s="1899"/>
      <c r="E4" s="1899"/>
      <c r="F4" s="1899"/>
      <c r="G4" s="1899"/>
      <c r="H4" s="1899"/>
      <c r="I4" s="1899"/>
      <c r="J4" s="1899"/>
      <c r="K4" s="1899"/>
      <c r="L4" s="1899"/>
      <c r="M4" s="1899"/>
      <c r="N4" s="1899"/>
      <c r="O4" s="1899"/>
      <c r="P4" s="1899"/>
      <c r="Q4" s="1899"/>
      <c r="R4" s="1306"/>
      <c r="S4" s="1306"/>
      <c r="T4" s="1306"/>
      <c r="U4" s="1306"/>
    </row>
    <row r="5" spans="1:21" ht="17.399999999999999" x14ac:dyDescent="0.3">
      <c r="A5" s="1125">
        <v>2357600000</v>
      </c>
      <c r="B5" s="1135"/>
      <c r="C5" s="1308"/>
      <c r="D5" s="1308"/>
      <c r="E5" s="1309"/>
      <c r="F5" s="1309"/>
      <c r="G5" s="1309"/>
      <c r="H5" s="1309"/>
      <c r="I5" s="1309"/>
      <c r="J5" s="1309"/>
      <c r="K5" s="1309"/>
      <c r="L5" s="1309"/>
      <c r="M5" s="1309"/>
      <c r="N5" s="1074"/>
      <c r="O5" s="1074"/>
      <c r="P5" s="1074"/>
      <c r="Q5" s="1310"/>
      <c r="R5" s="1306"/>
      <c r="S5" s="1306"/>
      <c r="T5" s="1306"/>
      <c r="U5" s="1306"/>
    </row>
    <row r="6" spans="1:21" ht="16.95" customHeight="1" x14ac:dyDescent="0.3">
      <c r="A6" s="1129" t="s">
        <v>691</v>
      </c>
      <c r="B6" s="1135"/>
      <c r="C6" s="1308"/>
      <c r="D6" s="1308"/>
      <c r="E6" s="1309"/>
      <c r="F6" s="1309"/>
      <c r="G6" s="1309"/>
      <c r="H6" s="1309"/>
      <c r="I6" s="1309"/>
      <c r="J6" s="1309"/>
      <c r="K6" s="1309"/>
      <c r="L6" s="1309"/>
      <c r="M6" s="1309"/>
      <c r="N6" s="1074"/>
      <c r="O6" s="1074"/>
      <c r="P6" s="1074"/>
      <c r="Q6" s="1310"/>
      <c r="R6" s="1306"/>
      <c r="S6" s="1306"/>
      <c r="T6" s="1306"/>
      <c r="U6" s="1306"/>
    </row>
    <row r="7" spans="1:21" ht="15.75" customHeight="1" x14ac:dyDescent="0.3">
      <c r="A7" s="1135"/>
      <c r="B7" s="1135"/>
      <c r="C7" s="1308"/>
      <c r="D7" s="1308"/>
      <c r="E7" s="1309"/>
      <c r="F7" s="1309"/>
      <c r="G7" s="1309"/>
      <c r="H7" s="1309"/>
      <c r="I7" s="1309"/>
      <c r="J7" s="1309"/>
      <c r="K7" s="1309"/>
      <c r="L7" s="1309"/>
      <c r="M7" s="1309"/>
      <c r="N7" s="1074"/>
      <c r="O7" s="1074"/>
      <c r="P7" s="1074"/>
      <c r="Q7" s="1311" t="s">
        <v>692</v>
      </c>
      <c r="R7" s="1306"/>
      <c r="S7" s="1306"/>
      <c r="T7" s="1306"/>
      <c r="U7" s="1306"/>
    </row>
    <row r="8" spans="1:21" ht="30.75" customHeight="1" x14ac:dyDescent="0.25">
      <c r="A8" s="1878" t="s">
        <v>866</v>
      </c>
      <c r="B8" s="1878" t="s">
        <v>867</v>
      </c>
      <c r="C8" s="1878" t="s">
        <v>868</v>
      </c>
      <c r="D8" s="1888" t="s">
        <v>869</v>
      </c>
      <c r="E8" s="1888" t="s">
        <v>1494</v>
      </c>
      <c r="F8" s="1882" t="s">
        <v>1495</v>
      </c>
      <c r="G8" s="1883"/>
      <c r="H8" s="1883"/>
      <c r="I8" s="1902"/>
      <c r="J8" s="1882" t="s">
        <v>1496</v>
      </c>
      <c r="K8" s="1883"/>
      <c r="L8" s="1883"/>
      <c r="M8" s="1902"/>
      <c r="N8" s="1882" t="s">
        <v>1497</v>
      </c>
      <c r="O8" s="1883"/>
      <c r="P8" s="1883"/>
      <c r="Q8" s="1902"/>
      <c r="R8" s="1306"/>
      <c r="S8" s="1306"/>
      <c r="T8" s="1306"/>
      <c r="U8" s="1306"/>
    </row>
    <row r="9" spans="1:21" ht="28.5" customHeight="1" x14ac:dyDescent="0.25">
      <c r="A9" s="1900"/>
      <c r="B9" s="1879"/>
      <c r="C9" s="1879"/>
      <c r="D9" s="1889"/>
      <c r="E9" s="1889"/>
      <c r="F9" s="1888" t="s">
        <v>2</v>
      </c>
      <c r="G9" s="1890" t="s">
        <v>3</v>
      </c>
      <c r="H9" s="1891"/>
      <c r="I9" s="1888" t="s">
        <v>870</v>
      </c>
      <c r="J9" s="1888" t="s">
        <v>2</v>
      </c>
      <c r="K9" s="1890" t="s">
        <v>3</v>
      </c>
      <c r="L9" s="1891"/>
      <c r="M9" s="1888" t="s">
        <v>870</v>
      </c>
      <c r="N9" s="1888" t="s">
        <v>2</v>
      </c>
      <c r="O9" s="1890" t="s">
        <v>3</v>
      </c>
      <c r="P9" s="1891"/>
      <c r="Q9" s="1888" t="s">
        <v>870</v>
      </c>
      <c r="R9" s="1306"/>
      <c r="S9" s="1306"/>
      <c r="T9" s="1306"/>
      <c r="U9" s="1306"/>
    </row>
    <row r="10" spans="1:21" ht="42" customHeight="1" x14ac:dyDescent="0.25">
      <c r="A10" s="1901"/>
      <c r="B10" s="1880"/>
      <c r="C10" s="1880"/>
      <c r="D10" s="1898"/>
      <c r="E10" s="1898"/>
      <c r="F10" s="1898"/>
      <c r="G10" s="1312" t="s">
        <v>832</v>
      </c>
      <c r="H10" s="1313" t="s">
        <v>833</v>
      </c>
      <c r="I10" s="1889"/>
      <c r="J10" s="1889"/>
      <c r="K10" s="1314" t="s">
        <v>832</v>
      </c>
      <c r="L10" s="1313" t="s">
        <v>833</v>
      </c>
      <c r="M10" s="1889"/>
      <c r="N10" s="1889"/>
      <c r="O10" s="1314" t="s">
        <v>832</v>
      </c>
      <c r="P10" s="1313" t="s">
        <v>833</v>
      </c>
      <c r="Q10" s="1889"/>
      <c r="R10" s="1306"/>
      <c r="S10" s="1306"/>
      <c r="T10" s="1306"/>
      <c r="U10" s="1306"/>
    </row>
    <row r="11" spans="1:21" ht="13.8" x14ac:dyDescent="0.25">
      <c r="A11" s="1315">
        <v>1</v>
      </c>
      <c r="B11" s="1316">
        <v>2</v>
      </c>
      <c r="C11" s="1315">
        <v>3</v>
      </c>
      <c r="D11" s="1316">
        <v>4</v>
      </c>
      <c r="E11" s="1315">
        <v>5</v>
      </c>
      <c r="F11" s="1316">
        <v>5</v>
      </c>
      <c r="G11" s="1315">
        <v>6</v>
      </c>
      <c r="H11" s="1317">
        <v>7</v>
      </c>
      <c r="I11" s="1169">
        <v>8</v>
      </c>
      <c r="J11" s="1317">
        <v>9</v>
      </c>
      <c r="K11" s="1169">
        <v>10</v>
      </c>
      <c r="L11" s="1317">
        <v>11</v>
      </c>
      <c r="M11" s="1169">
        <v>12</v>
      </c>
      <c r="N11" s="1317">
        <v>13</v>
      </c>
      <c r="O11" s="1169">
        <v>14</v>
      </c>
      <c r="P11" s="1317">
        <v>15</v>
      </c>
      <c r="Q11" s="1169">
        <v>16</v>
      </c>
      <c r="R11" s="1306"/>
      <c r="S11" s="1306"/>
      <c r="T11" s="1306"/>
      <c r="U11" s="1306"/>
    </row>
    <row r="12" spans="1:21" s="1323" customFormat="1" ht="42" customHeight="1" x14ac:dyDescent="0.3">
      <c r="A12" s="1318" t="s">
        <v>881</v>
      </c>
      <c r="B12" s="1318"/>
      <c r="C12" s="1318"/>
      <c r="D12" s="1319" t="s">
        <v>882</v>
      </c>
      <c r="E12" s="1319" t="s">
        <v>882</v>
      </c>
      <c r="F12" s="1320">
        <f>F14</f>
        <v>1733491</v>
      </c>
      <c r="G12" s="1320">
        <f>G14</f>
        <v>1766509</v>
      </c>
      <c r="H12" s="1321"/>
      <c r="I12" s="1320">
        <f>F12+G12</f>
        <v>3500000</v>
      </c>
      <c r="J12" s="1321"/>
      <c r="K12" s="1320">
        <f>K13</f>
        <v>-1812500</v>
      </c>
      <c r="L12" s="1320"/>
      <c r="M12" s="1322">
        <f>M13</f>
        <v>-1812500</v>
      </c>
      <c r="N12" s="1322">
        <f t="shared" ref="N12:P13" si="0">F12+J12</f>
        <v>1733491</v>
      </c>
      <c r="O12" s="1322">
        <f>G12+K12</f>
        <v>-45991</v>
      </c>
      <c r="P12" s="1322">
        <f t="shared" si="0"/>
        <v>0</v>
      </c>
      <c r="Q12" s="1322">
        <f>N12+O12</f>
        <v>1687500</v>
      </c>
    </row>
    <row r="13" spans="1:21" s="1323" customFormat="1" ht="42" customHeight="1" x14ac:dyDescent="0.3">
      <c r="A13" s="1318" t="s">
        <v>883</v>
      </c>
      <c r="B13" s="1318"/>
      <c r="C13" s="1318"/>
      <c r="D13" s="1319" t="s">
        <v>882</v>
      </c>
      <c r="E13" s="1319" t="s">
        <v>882</v>
      </c>
      <c r="F13" s="1320">
        <f>F16</f>
        <v>1733491</v>
      </c>
      <c r="G13" s="1320">
        <f>G16</f>
        <v>1766509</v>
      </c>
      <c r="H13" s="1321"/>
      <c r="I13" s="1320">
        <f>F13+G13</f>
        <v>3500000</v>
      </c>
      <c r="J13" s="1321"/>
      <c r="K13" s="1320">
        <f>K18</f>
        <v>-1812500</v>
      </c>
      <c r="L13" s="1320"/>
      <c r="M13" s="1322">
        <f>M18</f>
        <v>-1812500</v>
      </c>
      <c r="N13" s="1322">
        <f>F13+J13</f>
        <v>1733491</v>
      </c>
      <c r="O13" s="1322">
        <f>G13+K13</f>
        <v>-45991</v>
      </c>
      <c r="P13" s="1322">
        <f t="shared" si="0"/>
        <v>0</v>
      </c>
      <c r="Q13" s="1322">
        <f>N13+O13</f>
        <v>1687500</v>
      </c>
    </row>
    <row r="14" spans="1:21" s="1328" customFormat="1" ht="15.6" x14ac:dyDescent="0.3">
      <c r="A14" s="1150" t="s">
        <v>887</v>
      </c>
      <c r="B14" s="1150" t="s">
        <v>466</v>
      </c>
      <c r="C14" s="1150" t="s">
        <v>887</v>
      </c>
      <c r="D14" s="1253" t="s">
        <v>465</v>
      </c>
      <c r="E14" s="1324" t="s">
        <v>268</v>
      </c>
      <c r="F14" s="1325">
        <f>F16+F18</f>
        <v>1733491</v>
      </c>
      <c r="G14" s="1325">
        <f>G16+G18</f>
        <v>1766509</v>
      </c>
      <c r="H14" s="1326">
        <f>H16+H18</f>
        <v>0</v>
      </c>
      <c r="I14" s="1325">
        <f>F14+G14</f>
        <v>3500000</v>
      </c>
      <c r="J14" s="1326"/>
      <c r="K14" s="1325">
        <f>K16+K18</f>
        <v>-1812500</v>
      </c>
      <c r="L14" s="1325"/>
      <c r="M14" s="1327">
        <f>J14+K14</f>
        <v>-1812500</v>
      </c>
      <c r="N14" s="1327">
        <f>N16+N18</f>
        <v>1733491</v>
      </c>
      <c r="O14" s="1327">
        <f>O16+O18</f>
        <v>-45991</v>
      </c>
      <c r="P14" s="1327"/>
      <c r="Q14" s="1327">
        <f>N14+O14</f>
        <v>1687500</v>
      </c>
    </row>
    <row r="15" spans="1:21" s="1328" customFormat="1" ht="55.2" hidden="1" x14ac:dyDescent="0.3">
      <c r="A15" s="1150" t="s">
        <v>1498</v>
      </c>
      <c r="B15" s="1150" t="s">
        <v>1499</v>
      </c>
      <c r="C15" s="1150"/>
      <c r="D15" s="1176" t="s">
        <v>1500</v>
      </c>
      <c r="E15" s="1324"/>
      <c r="F15" s="1325">
        <f t="shared" ref="F15:Q15" si="1">F16+F18</f>
        <v>1733491</v>
      </c>
      <c r="G15" s="1325">
        <f t="shared" si="1"/>
        <v>1766509</v>
      </c>
      <c r="H15" s="1325">
        <f t="shared" si="1"/>
        <v>0</v>
      </c>
      <c r="I15" s="1325">
        <f t="shared" si="1"/>
        <v>3500000</v>
      </c>
      <c r="J15" s="1325">
        <f t="shared" si="1"/>
        <v>0</v>
      </c>
      <c r="K15" s="1325">
        <f t="shared" si="1"/>
        <v>-1812500</v>
      </c>
      <c r="L15" s="1325">
        <f t="shared" si="1"/>
        <v>0</v>
      </c>
      <c r="M15" s="1325">
        <f t="shared" si="1"/>
        <v>-1812500</v>
      </c>
      <c r="N15" s="1325">
        <f t="shared" si="1"/>
        <v>1733491</v>
      </c>
      <c r="O15" s="1325">
        <f t="shared" si="1"/>
        <v>-45991</v>
      </c>
      <c r="P15" s="1325">
        <f t="shared" si="1"/>
        <v>0</v>
      </c>
      <c r="Q15" s="1325">
        <f t="shared" si="1"/>
        <v>1687500</v>
      </c>
    </row>
    <row r="16" spans="1:21" ht="75.599999999999994" customHeight="1" x14ac:dyDescent="0.3">
      <c r="A16" s="1159" t="s">
        <v>1501</v>
      </c>
      <c r="B16" s="1159" t="s">
        <v>1502</v>
      </c>
      <c r="C16" s="1168" t="s">
        <v>1118</v>
      </c>
      <c r="D16" s="1203" t="s">
        <v>1503</v>
      </c>
      <c r="E16" s="1329" t="s">
        <v>1504</v>
      </c>
      <c r="F16" s="1330">
        <v>1733491</v>
      </c>
      <c r="G16" s="1330">
        <v>1766509</v>
      </c>
      <c r="H16" s="1331"/>
      <c r="I16" s="1330">
        <f>F16+G16</f>
        <v>3500000</v>
      </c>
      <c r="J16" s="1331"/>
      <c r="K16" s="1330"/>
      <c r="L16" s="1330"/>
      <c r="M16" s="1332">
        <f>J16+K16</f>
        <v>0</v>
      </c>
      <c r="N16" s="1332">
        <f>F16+J16</f>
        <v>1733491</v>
      </c>
      <c r="O16" s="1332">
        <f>G16+K16</f>
        <v>1766509</v>
      </c>
      <c r="P16" s="1332">
        <f t="shared" ref="N16:P19" si="2">H16+L16</f>
        <v>0</v>
      </c>
      <c r="Q16" s="1332">
        <f>N16+O16</f>
        <v>3500000</v>
      </c>
    </row>
    <row r="17" spans="1:17" ht="60.6" hidden="1" customHeight="1" x14ac:dyDescent="0.3">
      <c r="A17" s="1159"/>
      <c r="B17" s="1159"/>
      <c r="C17" s="1168"/>
      <c r="D17" s="1333" t="s">
        <v>1505</v>
      </c>
      <c r="E17" s="1333" t="s">
        <v>1506</v>
      </c>
      <c r="F17" s="1330">
        <f>F16</f>
        <v>1733491</v>
      </c>
      <c r="G17" s="1330">
        <f>G16</f>
        <v>1766509</v>
      </c>
      <c r="H17" s="1331"/>
      <c r="I17" s="1330">
        <f>F17+G17</f>
        <v>3500000</v>
      </c>
      <c r="J17" s="1331"/>
      <c r="K17" s="1330"/>
      <c r="L17" s="1330"/>
      <c r="M17" s="1332"/>
      <c r="N17" s="1332">
        <f t="shared" si="2"/>
        <v>1733491</v>
      </c>
      <c r="O17" s="1332">
        <f t="shared" si="2"/>
        <v>1766509</v>
      </c>
      <c r="P17" s="1332">
        <f t="shared" si="2"/>
        <v>0</v>
      </c>
      <c r="Q17" s="1332">
        <f>N17+O17</f>
        <v>3500000</v>
      </c>
    </row>
    <row r="18" spans="1:17" ht="76.5" customHeight="1" x14ac:dyDescent="0.3">
      <c r="A18" s="1159" t="s">
        <v>1507</v>
      </c>
      <c r="B18" s="1159" t="s">
        <v>1508</v>
      </c>
      <c r="C18" s="1168" t="s">
        <v>1118</v>
      </c>
      <c r="D18" s="1203" t="s">
        <v>1509</v>
      </c>
      <c r="E18" s="1329" t="s">
        <v>1510</v>
      </c>
      <c r="F18" s="1331"/>
      <c r="G18" s="1331"/>
      <c r="H18" s="1331"/>
      <c r="I18" s="1331">
        <f>F18+G18</f>
        <v>0</v>
      </c>
      <c r="J18" s="1331"/>
      <c r="K18" s="1330">
        <v>-1812500</v>
      </c>
      <c r="L18" s="1330"/>
      <c r="M18" s="1332">
        <f>J18+K18</f>
        <v>-1812500</v>
      </c>
      <c r="N18" s="1332">
        <f t="shared" si="2"/>
        <v>0</v>
      </c>
      <c r="O18" s="1332">
        <f>G18+K18</f>
        <v>-1812500</v>
      </c>
      <c r="P18" s="1332">
        <f t="shared" si="2"/>
        <v>0</v>
      </c>
      <c r="Q18" s="1332">
        <f>N18+O18</f>
        <v>-1812500</v>
      </c>
    </row>
    <row r="19" spans="1:17" ht="63" hidden="1" customHeight="1" x14ac:dyDescent="0.3">
      <c r="A19" s="1155"/>
      <c r="B19" s="1155"/>
      <c r="C19" s="1150"/>
      <c r="D19" s="1333" t="s">
        <v>1511</v>
      </c>
      <c r="E19" s="1333" t="s">
        <v>1512</v>
      </c>
      <c r="F19" s="1334"/>
      <c r="G19" s="1334"/>
      <c r="H19" s="1334"/>
      <c r="I19" s="1334"/>
      <c r="J19" s="1334"/>
      <c r="K19" s="1332">
        <f>K18</f>
        <v>-1812500</v>
      </c>
      <c r="L19" s="1332"/>
      <c r="M19" s="1332">
        <f>J19+K19</f>
        <v>-1812500</v>
      </c>
      <c r="N19" s="1332">
        <f t="shared" si="2"/>
        <v>0</v>
      </c>
      <c r="O19" s="1332">
        <f t="shared" si="2"/>
        <v>-1812500</v>
      </c>
      <c r="P19" s="1332">
        <f t="shared" si="2"/>
        <v>0</v>
      </c>
      <c r="Q19" s="1332">
        <f>N19+O19</f>
        <v>-1812500</v>
      </c>
    </row>
    <row r="20" spans="1:17" ht="33" customHeight="1" x14ac:dyDescent="0.3">
      <c r="A20" s="1318" t="s">
        <v>1233</v>
      </c>
      <c r="B20" s="1318"/>
      <c r="C20" s="1318"/>
      <c r="D20" s="1335" t="s">
        <v>1513</v>
      </c>
      <c r="E20" s="1318" t="s">
        <v>1513</v>
      </c>
      <c r="F20" s="1336">
        <f t="shared" ref="F20:Q21" si="3">F21</f>
        <v>15062651</v>
      </c>
      <c r="G20" s="1336">
        <f t="shared" si="3"/>
        <v>0</v>
      </c>
      <c r="H20" s="1319">
        <f t="shared" si="3"/>
        <v>0</v>
      </c>
      <c r="I20" s="1320">
        <f t="shared" si="3"/>
        <v>15062651</v>
      </c>
      <c r="J20" s="1320">
        <f t="shared" si="3"/>
        <v>0</v>
      </c>
      <c r="K20" s="1320">
        <f t="shared" si="3"/>
        <v>-2800000</v>
      </c>
      <c r="L20" s="1320">
        <f t="shared" si="3"/>
        <v>-2800000</v>
      </c>
      <c r="M20" s="1320">
        <f>J20+K20</f>
        <v>-2800000</v>
      </c>
      <c r="N20" s="1320">
        <f t="shared" si="3"/>
        <v>15062651</v>
      </c>
      <c r="O20" s="1320">
        <f t="shared" si="3"/>
        <v>-2800000</v>
      </c>
      <c r="P20" s="1322">
        <f t="shared" si="3"/>
        <v>-2800000</v>
      </c>
      <c r="Q20" s="1322">
        <f t="shared" si="3"/>
        <v>12262651</v>
      </c>
    </row>
    <row r="21" spans="1:17" ht="33" customHeight="1" x14ac:dyDescent="0.3">
      <c r="A21" s="1318" t="s">
        <v>1235</v>
      </c>
      <c r="B21" s="1318"/>
      <c r="C21" s="1318"/>
      <c r="D21" s="1335" t="s">
        <v>1513</v>
      </c>
      <c r="E21" s="1318" t="s">
        <v>1513</v>
      </c>
      <c r="F21" s="1336">
        <f>F22</f>
        <v>15062651</v>
      </c>
      <c r="G21" s="1336">
        <f t="shared" si="3"/>
        <v>0</v>
      </c>
      <c r="H21" s="1319">
        <f t="shared" si="3"/>
        <v>0</v>
      </c>
      <c r="I21" s="1320">
        <f t="shared" si="3"/>
        <v>15062651</v>
      </c>
      <c r="J21" s="1320">
        <f>J30</f>
        <v>0</v>
      </c>
      <c r="K21" s="1320">
        <f>K22</f>
        <v>-2800000</v>
      </c>
      <c r="L21" s="1320">
        <f t="shared" si="3"/>
        <v>-2800000</v>
      </c>
      <c r="M21" s="1320">
        <f t="shared" ref="M21:M38" si="4">J21+K21</f>
        <v>-2800000</v>
      </c>
      <c r="N21" s="1320">
        <f t="shared" si="3"/>
        <v>15062651</v>
      </c>
      <c r="O21" s="1320">
        <f t="shared" si="3"/>
        <v>-2800000</v>
      </c>
      <c r="P21" s="1322">
        <f t="shared" si="3"/>
        <v>-2800000</v>
      </c>
      <c r="Q21" s="1322">
        <f t="shared" si="3"/>
        <v>12262651</v>
      </c>
    </row>
    <row r="22" spans="1:17" ht="23.4" customHeight="1" x14ac:dyDescent="0.3">
      <c r="A22" s="1150" t="s">
        <v>887</v>
      </c>
      <c r="B22" s="1150" t="s">
        <v>466</v>
      </c>
      <c r="C22" s="1150" t="s">
        <v>887</v>
      </c>
      <c r="D22" s="1253" t="s">
        <v>465</v>
      </c>
      <c r="E22" s="1337" t="s">
        <v>268</v>
      </c>
      <c r="F22" s="1327">
        <f>F24+F28</f>
        <v>15062651</v>
      </c>
      <c r="G22" s="1327">
        <f>G24</f>
        <v>0</v>
      </c>
      <c r="H22" s="1327">
        <v>0</v>
      </c>
      <c r="I22" s="1327">
        <f>I24+I28</f>
        <v>15062651</v>
      </c>
      <c r="J22" s="1327">
        <f>J30</f>
        <v>0</v>
      </c>
      <c r="K22" s="1327">
        <f>K23</f>
        <v>-2800000</v>
      </c>
      <c r="L22" s="1327">
        <f>L26</f>
        <v>-2800000</v>
      </c>
      <c r="M22" s="1338">
        <f t="shared" si="4"/>
        <v>-2800000</v>
      </c>
      <c r="N22" s="1327">
        <f>N24+N28+N30</f>
        <v>15062651</v>
      </c>
      <c r="O22" s="1327">
        <f>O23</f>
        <v>-2800000</v>
      </c>
      <c r="P22" s="1332">
        <f>O22</f>
        <v>-2800000</v>
      </c>
      <c r="Q22" s="1327">
        <f>N22+O22</f>
        <v>12262651</v>
      </c>
    </row>
    <row r="23" spans="1:17" ht="41.4" hidden="1" x14ac:dyDescent="0.3">
      <c r="A23" s="1155">
        <v>1218840</v>
      </c>
      <c r="B23" s="1150" t="s">
        <v>1514</v>
      </c>
      <c r="C23" s="1150"/>
      <c r="D23" s="1176" t="s">
        <v>1515</v>
      </c>
      <c r="E23" s="1337"/>
      <c r="F23" s="1327">
        <f t="shared" ref="F23:P23" si="5">F24</f>
        <v>15062651</v>
      </c>
      <c r="G23" s="1327">
        <f t="shared" si="5"/>
        <v>0</v>
      </c>
      <c r="H23" s="1327">
        <f t="shared" si="5"/>
        <v>0</v>
      </c>
      <c r="I23" s="1327">
        <f t="shared" si="5"/>
        <v>15062651</v>
      </c>
      <c r="J23" s="1327">
        <f t="shared" si="5"/>
        <v>0</v>
      </c>
      <c r="K23" s="1327">
        <f>K26</f>
        <v>-2800000</v>
      </c>
      <c r="L23" s="1327">
        <f t="shared" si="5"/>
        <v>0</v>
      </c>
      <c r="M23" s="1338">
        <f t="shared" si="4"/>
        <v>-2800000</v>
      </c>
      <c r="N23" s="1327">
        <f t="shared" si="5"/>
        <v>15062651</v>
      </c>
      <c r="O23" s="1327">
        <f>K23+G23</f>
        <v>-2800000</v>
      </c>
      <c r="P23" s="1327">
        <f t="shared" si="5"/>
        <v>0</v>
      </c>
      <c r="Q23" s="1327">
        <f>Q24+Q26</f>
        <v>12262651</v>
      </c>
    </row>
    <row r="24" spans="1:17" ht="51" customHeight="1" x14ac:dyDescent="0.3">
      <c r="A24" s="1256">
        <v>1218841</v>
      </c>
      <c r="B24" s="1159" t="s">
        <v>1516</v>
      </c>
      <c r="C24" s="1168" t="s">
        <v>1118</v>
      </c>
      <c r="D24" s="1203" t="s">
        <v>1517</v>
      </c>
      <c r="E24" s="1333" t="s">
        <v>1504</v>
      </c>
      <c r="F24" s="1332">
        <v>15062651</v>
      </c>
      <c r="G24" s="1332"/>
      <c r="H24" s="1332"/>
      <c r="I24" s="1327">
        <f>F24+G24</f>
        <v>15062651</v>
      </c>
      <c r="J24" s="1332"/>
      <c r="K24" s="1332"/>
      <c r="L24" s="1332"/>
      <c r="M24" s="1338">
        <f t="shared" si="4"/>
        <v>0</v>
      </c>
      <c r="N24" s="1332">
        <f>F24</f>
        <v>15062651</v>
      </c>
      <c r="O24" s="1332">
        <f>G24</f>
        <v>0</v>
      </c>
      <c r="P24" s="1332">
        <v>0</v>
      </c>
      <c r="Q24" s="1327">
        <f t="shared" ref="Q24:Q37" si="6">N24+O24</f>
        <v>15062651</v>
      </c>
    </row>
    <row r="25" spans="1:17" ht="112.95" hidden="1" customHeight="1" x14ac:dyDescent="0.3">
      <c r="A25" s="1256"/>
      <c r="B25" s="1256"/>
      <c r="C25" s="1159"/>
      <c r="D25" s="1333" t="s">
        <v>1518</v>
      </c>
      <c r="E25" s="1333" t="s">
        <v>1519</v>
      </c>
      <c r="F25" s="1332">
        <f>F24</f>
        <v>15062651</v>
      </c>
      <c r="G25" s="1332">
        <f>G24</f>
        <v>0</v>
      </c>
      <c r="H25" s="1332"/>
      <c r="I25" s="1327">
        <f>F25+G25</f>
        <v>15062651</v>
      </c>
      <c r="J25" s="1332"/>
      <c r="K25" s="1332"/>
      <c r="L25" s="1332"/>
      <c r="M25" s="1338">
        <f t="shared" si="4"/>
        <v>0</v>
      </c>
      <c r="N25" s="1332">
        <f>F25</f>
        <v>15062651</v>
      </c>
      <c r="O25" s="1332">
        <f>K25+G25</f>
        <v>0</v>
      </c>
      <c r="P25" s="1332">
        <v>0</v>
      </c>
      <c r="Q25" s="1327">
        <f t="shared" si="6"/>
        <v>15062651</v>
      </c>
    </row>
    <row r="26" spans="1:17" ht="51.6" customHeight="1" x14ac:dyDescent="0.3">
      <c r="A26" s="1256">
        <v>1218842</v>
      </c>
      <c r="B26" s="1256">
        <v>8842</v>
      </c>
      <c r="C26" s="1168" t="s">
        <v>1118</v>
      </c>
      <c r="D26" s="1339" t="s">
        <v>1520</v>
      </c>
      <c r="E26" s="1333"/>
      <c r="F26" s="1332"/>
      <c r="G26" s="1332"/>
      <c r="H26" s="1332"/>
      <c r="I26" s="1327"/>
      <c r="J26" s="1332"/>
      <c r="K26" s="1332">
        <v>-2800000</v>
      </c>
      <c r="L26" s="1332">
        <f>K26</f>
        <v>-2800000</v>
      </c>
      <c r="M26" s="1338">
        <f t="shared" si="4"/>
        <v>-2800000</v>
      </c>
      <c r="N26" s="1332"/>
      <c r="O26" s="1332">
        <f>K26</f>
        <v>-2800000</v>
      </c>
      <c r="P26" s="1332">
        <f>O26</f>
        <v>-2800000</v>
      </c>
      <c r="Q26" s="1327">
        <f t="shared" si="6"/>
        <v>-2800000</v>
      </c>
    </row>
    <row r="27" spans="1:17" ht="117" hidden="1" customHeight="1" x14ac:dyDescent="0.3">
      <c r="A27" s="1155"/>
      <c r="B27" s="1155"/>
      <c r="C27" s="1151"/>
      <c r="D27" s="1333" t="s">
        <v>1518</v>
      </c>
      <c r="E27" s="1333"/>
      <c r="F27" s="1332"/>
      <c r="G27" s="1332"/>
      <c r="H27" s="1332"/>
      <c r="I27" s="1327"/>
      <c r="J27" s="1332"/>
      <c r="K27" s="1332">
        <f>K26</f>
        <v>-2800000</v>
      </c>
      <c r="L27" s="1332"/>
      <c r="M27" s="1338">
        <f>M26</f>
        <v>-2800000</v>
      </c>
      <c r="N27" s="1332"/>
      <c r="O27" s="1332">
        <f>O26</f>
        <v>-2800000</v>
      </c>
      <c r="P27" s="1332"/>
      <c r="Q27" s="1327">
        <f>Q26</f>
        <v>-2800000</v>
      </c>
    </row>
    <row r="28" spans="1:17" ht="33" hidden="1" customHeight="1" x14ac:dyDescent="0.3">
      <c r="A28" s="1892">
        <v>1218861</v>
      </c>
      <c r="B28" s="1894" t="s">
        <v>1521</v>
      </c>
      <c r="C28" s="1896" t="s">
        <v>1522</v>
      </c>
      <c r="D28" s="1203" t="s">
        <v>1523</v>
      </c>
      <c r="E28" s="1333" t="s">
        <v>1504</v>
      </c>
      <c r="F28" s="1332">
        <f>F29+F30</f>
        <v>0</v>
      </c>
      <c r="G28" s="1332">
        <f>G29</f>
        <v>0</v>
      </c>
      <c r="H28" s="1332"/>
      <c r="I28" s="1327">
        <f>F28+G28</f>
        <v>0</v>
      </c>
      <c r="J28" s="1332"/>
      <c r="K28" s="1332">
        <f>K29+K30</f>
        <v>0</v>
      </c>
      <c r="L28" s="1332">
        <f>L29+L30</f>
        <v>0</v>
      </c>
      <c r="M28" s="1338">
        <f>J28+K28</f>
        <v>0</v>
      </c>
      <c r="N28" s="1332">
        <f>N29</f>
        <v>0</v>
      </c>
      <c r="O28" s="1332">
        <f>G28</f>
        <v>0</v>
      </c>
      <c r="P28" s="1332">
        <v>0</v>
      </c>
      <c r="Q28" s="1327">
        <f>N28+O28</f>
        <v>0</v>
      </c>
    </row>
    <row r="29" spans="1:17" ht="23.4" hidden="1" customHeight="1" x14ac:dyDescent="0.3">
      <c r="A29" s="1893"/>
      <c r="B29" s="1895"/>
      <c r="C29" s="1897"/>
      <c r="D29" s="1340" t="s">
        <v>1524</v>
      </c>
      <c r="E29" s="1333" t="s">
        <v>1519</v>
      </c>
      <c r="F29" s="1332"/>
      <c r="G29" s="1332"/>
      <c r="H29" s="1332"/>
      <c r="I29" s="1327">
        <f>F29+G29</f>
        <v>0</v>
      </c>
      <c r="J29" s="1332"/>
      <c r="K29" s="1332"/>
      <c r="L29" s="1332"/>
      <c r="M29" s="1338">
        <f>J29+K29</f>
        <v>0</v>
      </c>
      <c r="N29" s="1332">
        <f>F29</f>
        <v>0</v>
      </c>
      <c r="O29" s="1332">
        <f>K29+G29</f>
        <v>0</v>
      </c>
      <c r="P29" s="1332">
        <v>0</v>
      </c>
      <c r="Q29" s="1327">
        <f>N29+O29</f>
        <v>0</v>
      </c>
    </row>
    <row r="30" spans="1:17" ht="27.6" hidden="1" x14ac:dyDescent="0.3">
      <c r="A30" s="1155">
        <v>1218862</v>
      </c>
      <c r="B30" s="1256">
        <v>8862</v>
      </c>
      <c r="C30" s="1168" t="s">
        <v>1525</v>
      </c>
      <c r="D30" s="1339" t="s">
        <v>1526</v>
      </c>
      <c r="E30" s="1333"/>
      <c r="F30" s="1332"/>
      <c r="G30" s="1332"/>
      <c r="H30" s="1332"/>
      <c r="I30" s="1327">
        <f>F30+G30</f>
        <v>0</v>
      </c>
      <c r="J30" s="1332"/>
      <c r="K30" s="1332"/>
      <c r="L30" s="1332"/>
      <c r="M30" s="1338">
        <f>J30+K30</f>
        <v>0</v>
      </c>
      <c r="N30" s="1332">
        <f>J30</f>
        <v>0</v>
      </c>
      <c r="O30" s="1332">
        <f>K30</f>
        <v>0</v>
      </c>
      <c r="P30" s="1332"/>
      <c r="Q30" s="1327">
        <f>N30+O30</f>
        <v>0</v>
      </c>
    </row>
    <row r="31" spans="1:17" s="1328" customFormat="1" ht="27" customHeight="1" x14ac:dyDescent="0.3">
      <c r="A31" s="1318" t="s">
        <v>1463</v>
      </c>
      <c r="B31" s="1318"/>
      <c r="C31" s="1318"/>
      <c r="D31" s="1319" t="s">
        <v>1464</v>
      </c>
      <c r="E31" s="1319" t="s">
        <v>1527</v>
      </c>
      <c r="F31" s="1320">
        <f t="shared" ref="F31:P32" si="7">F32</f>
        <v>0</v>
      </c>
      <c r="G31" s="1320">
        <f t="shared" si="7"/>
        <v>89293795</v>
      </c>
      <c r="H31" s="1320">
        <f>H32</f>
        <v>89293795</v>
      </c>
      <c r="I31" s="1320">
        <f t="shared" si="7"/>
        <v>89293795</v>
      </c>
      <c r="J31" s="1320">
        <f t="shared" si="7"/>
        <v>0</v>
      </c>
      <c r="K31" s="1320">
        <f>K32</f>
        <v>-89293795</v>
      </c>
      <c r="L31" s="1320">
        <f t="shared" si="7"/>
        <v>-89293795</v>
      </c>
      <c r="M31" s="1320">
        <f t="shared" si="4"/>
        <v>-89293795</v>
      </c>
      <c r="N31" s="1320">
        <f t="shared" si="7"/>
        <v>0</v>
      </c>
      <c r="O31" s="1320">
        <f t="shared" si="7"/>
        <v>0</v>
      </c>
      <c r="P31" s="1320">
        <f t="shared" si="7"/>
        <v>0</v>
      </c>
      <c r="Q31" s="1322">
        <f t="shared" si="6"/>
        <v>0</v>
      </c>
    </row>
    <row r="32" spans="1:17" s="1328" customFormat="1" ht="27" customHeight="1" x14ac:dyDescent="0.3">
      <c r="A32" s="1318" t="s">
        <v>1465</v>
      </c>
      <c r="B32" s="1318"/>
      <c r="C32" s="1318"/>
      <c r="D32" s="1319" t="s">
        <v>1464</v>
      </c>
      <c r="E32" s="1319" t="s">
        <v>1527</v>
      </c>
      <c r="F32" s="1320">
        <f t="shared" si="7"/>
        <v>0</v>
      </c>
      <c r="G32" s="1320">
        <f t="shared" si="7"/>
        <v>89293795</v>
      </c>
      <c r="H32" s="1320">
        <f>H33</f>
        <v>89293795</v>
      </c>
      <c r="I32" s="1320">
        <f t="shared" si="7"/>
        <v>89293795</v>
      </c>
      <c r="J32" s="1320">
        <f t="shared" si="7"/>
        <v>0</v>
      </c>
      <c r="K32" s="1320">
        <f>K33</f>
        <v>-89293795</v>
      </c>
      <c r="L32" s="1320">
        <f t="shared" si="7"/>
        <v>-89293795</v>
      </c>
      <c r="M32" s="1320">
        <f t="shared" si="4"/>
        <v>-89293795</v>
      </c>
      <c r="N32" s="1320">
        <f t="shared" si="7"/>
        <v>0</v>
      </c>
      <c r="O32" s="1320">
        <f t="shared" si="7"/>
        <v>0</v>
      </c>
      <c r="P32" s="1320">
        <f t="shared" si="7"/>
        <v>0</v>
      </c>
      <c r="Q32" s="1322">
        <f t="shared" si="6"/>
        <v>0</v>
      </c>
    </row>
    <row r="33" spans="1:24" s="1328" customFormat="1" ht="15.6" x14ac:dyDescent="0.3">
      <c r="A33" s="1150" t="s">
        <v>887</v>
      </c>
      <c r="B33" s="1150" t="s">
        <v>466</v>
      </c>
      <c r="C33" s="1150" t="s">
        <v>887</v>
      </c>
      <c r="D33" s="1253" t="s">
        <v>465</v>
      </c>
      <c r="E33" s="1230" t="s">
        <v>1528</v>
      </c>
      <c r="F33" s="1327">
        <f>F34+F37</f>
        <v>0</v>
      </c>
      <c r="G33" s="1327">
        <f t="shared" ref="G33:Q33" si="8">G34+G37</f>
        <v>89293795</v>
      </c>
      <c r="H33" s="1327">
        <f t="shared" si="8"/>
        <v>89293795</v>
      </c>
      <c r="I33" s="1327">
        <f t="shared" si="8"/>
        <v>89293795</v>
      </c>
      <c r="J33" s="1327">
        <f t="shared" si="8"/>
        <v>0</v>
      </c>
      <c r="K33" s="1327">
        <f t="shared" si="8"/>
        <v>-89293795</v>
      </c>
      <c r="L33" s="1327">
        <f t="shared" si="8"/>
        <v>-89293795</v>
      </c>
      <c r="M33" s="1338">
        <f t="shared" si="4"/>
        <v>-89293795</v>
      </c>
      <c r="N33" s="1327">
        <f t="shared" si="8"/>
        <v>0</v>
      </c>
      <c r="O33" s="1327">
        <f t="shared" si="8"/>
        <v>0</v>
      </c>
      <c r="P33" s="1327">
        <f t="shared" si="8"/>
        <v>0</v>
      </c>
      <c r="Q33" s="1327">
        <f t="shared" si="8"/>
        <v>0</v>
      </c>
    </row>
    <row r="34" spans="1:24" ht="65.400000000000006" customHeight="1" x14ac:dyDescent="0.3">
      <c r="A34" s="1155">
        <v>3718881</v>
      </c>
      <c r="B34" s="1155">
        <v>8881</v>
      </c>
      <c r="C34" s="1151" t="s">
        <v>1038</v>
      </c>
      <c r="D34" s="1329" t="s">
        <v>1529</v>
      </c>
      <c r="E34" s="1329" t="s">
        <v>1530</v>
      </c>
      <c r="F34" s="1330"/>
      <c r="G34" s="1330">
        <v>89293795</v>
      </c>
      <c r="H34" s="1330">
        <f>G34</f>
        <v>89293795</v>
      </c>
      <c r="I34" s="1325">
        <f>F34+G34</f>
        <v>89293795</v>
      </c>
      <c r="J34" s="1330"/>
      <c r="K34" s="1330"/>
      <c r="L34" s="1330"/>
      <c r="M34" s="1338">
        <f t="shared" si="4"/>
        <v>0</v>
      </c>
      <c r="N34" s="1332">
        <f>F34+J34</f>
        <v>0</v>
      </c>
      <c r="O34" s="1332">
        <f>G34+K34</f>
        <v>89293795</v>
      </c>
      <c r="P34" s="1332">
        <f>H34+L34</f>
        <v>89293795</v>
      </c>
      <c r="Q34" s="1327">
        <f t="shared" si="6"/>
        <v>89293795</v>
      </c>
      <c r="X34" s="1341"/>
    </row>
    <row r="35" spans="1:24" ht="15.6" hidden="1" x14ac:dyDescent="0.3">
      <c r="A35" s="1324"/>
      <c r="B35" s="1155"/>
      <c r="C35" s="1342"/>
      <c r="D35" s="1343" t="s">
        <v>1531</v>
      </c>
      <c r="E35" s="1343" t="s">
        <v>1531</v>
      </c>
      <c r="F35" s="1344"/>
      <c r="G35" s="1345"/>
      <c r="H35" s="1345">
        <f>G35</f>
        <v>0</v>
      </c>
      <c r="I35" s="1338">
        <f>F35+G35</f>
        <v>0</v>
      </c>
      <c r="J35" s="1330"/>
      <c r="K35" s="1330"/>
      <c r="L35" s="1330"/>
      <c r="M35" s="1338">
        <f t="shared" si="4"/>
        <v>0</v>
      </c>
      <c r="N35" s="1332"/>
      <c r="O35" s="1332">
        <f>G35+K35</f>
        <v>0</v>
      </c>
      <c r="P35" s="1332">
        <f>H35+L35</f>
        <v>0</v>
      </c>
      <c r="Q35" s="1327">
        <f t="shared" si="6"/>
        <v>0</v>
      </c>
    </row>
    <row r="36" spans="1:24" ht="22.5" hidden="1" customHeight="1" x14ac:dyDescent="0.3">
      <c r="A36" s="1324"/>
      <c r="B36" s="1155"/>
      <c r="C36" s="1342"/>
      <c r="D36" s="1343" t="s">
        <v>1524</v>
      </c>
      <c r="E36" s="1343" t="s">
        <v>1524</v>
      </c>
      <c r="F36" s="1344"/>
      <c r="G36" s="1344"/>
      <c r="H36" s="1344">
        <f>G36</f>
        <v>0</v>
      </c>
      <c r="I36" s="1325">
        <f>F36+G36</f>
        <v>0</v>
      </c>
      <c r="J36" s="1330"/>
      <c r="K36" s="1330"/>
      <c r="L36" s="1330"/>
      <c r="M36" s="1338">
        <f t="shared" si="4"/>
        <v>0</v>
      </c>
      <c r="N36" s="1332"/>
      <c r="O36" s="1332">
        <f>G36+K36</f>
        <v>0</v>
      </c>
      <c r="P36" s="1332">
        <f>H36+L36</f>
        <v>0</v>
      </c>
      <c r="Q36" s="1327">
        <f t="shared" si="6"/>
        <v>0</v>
      </c>
    </row>
    <row r="37" spans="1:24" ht="61.5" customHeight="1" x14ac:dyDescent="0.3">
      <c r="A37" s="1346">
        <v>3718882</v>
      </c>
      <c r="B37" s="1346">
        <v>8882</v>
      </c>
      <c r="C37" s="1347" t="s">
        <v>1038</v>
      </c>
      <c r="D37" s="1340" t="s">
        <v>636</v>
      </c>
      <c r="E37" s="1340"/>
      <c r="F37" s="1330"/>
      <c r="G37" s="1330"/>
      <c r="H37" s="1330"/>
      <c r="I37" s="1325"/>
      <c r="J37" s="1330"/>
      <c r="K37" s="1330">
        <v>-89293795</v>
      </c>
      <c r="L37" s="1330">
        <f>K37</f>
        <v>-89293795</v>
      </c>
      <c r="M37" s="1338">
        <f t="shared" si="4"/>
        <v>-89293795</v>
      </c>
      <c r="N37" s="1332"/>
      <c r="O37" s="1332">
        <f>K37</f>
        <v>-89293795</v>
      </c>
      <c r="P37" s="1332">
        <f>L37</f>
        <v>-89293795</v>
      </c>
      <c r="Q37" s="1327">
        <f t="shared" si="6"/>
        <v>-89293795</v>
      </c>
    </row>
    <row r="38" spans="1:24" s="1328" customFormat="1" ht="15.6" x14ac:dyDescent="0.3">
      <c r="A38" s="1348" t="s">
        <v>853</v>
      </c>
      <c r="B38" s="1348" t="s">
        <v>853</v>
      </c>
      <c r="C38" s="1318" t="s">
        <v>853</v>
      </c>
      <c r="D38" s="1349" t="s">
        <v>695</v>
      </c>
      <c r="E38" s="1319" t="s">
        <v>1532</v>
      </c>
      <c r="F38" s="1322">
        <f>F13+F32+F21</f>
        <v>16796142</v>
      </c>
      <c r="G38" s="1322">
        <f t="shared" ref="G38:L38" si="9">G13+G32+G21</f>
        <v>91060304</v>
      </c>
      <c r="H38" s="1322">
        <f t="shared" si="9"/>
        <v>89293795</v>
      </c>
      <c r="I38" s="1322">
        <f>I13+I32+I21</f>
        <v>107856446</v>
      </c>
      <c r="J38" s="1322">
        <f>J13+J32+J21</f>
        <v>0</v>
      </c>
      <c r="K38" s="1322">
        <f t="shared" si="9"/>
        <v>-93906295</v>
      </c>
      <c r="L38" s="1322">
        <f t="shared" si="9"/>
        <v>-92093795</v>
      </c>
      <c r="M38" s="1320">
        <f t="shared" si="4"/>
        <v>-93906295</v>
      </c>
      <c r="N38" s="1322">
        <f>N13+N32+N21</f>
        <v>16796142</v>
      </c>
      <c r="O38" s="1322">
        <f>O13+O32+O21</f>
        <v>-2845991</v>
      </c>
      <c r="P38" s="1322">
        <f>P13+P32+P21</f>
        <v>-2800000</v>
      </c>
      <c r="Q38" s="1322">
        <f>Q13+Q32+Q21</f>
        <v>13950151</v>
      </c>
    </row>
    <row r="41" spans="1:24" s="1350" customFormat="1" ht="17.399999999999999" x14ac:dyDescent="0.3">
      <c r="B41" s="1350" t="s">
        <v>681</v>
      </c>
      <c r="P41" s="1885" t="s">
        <v>682</v>
      </c>
      <c r="Q41" s="1885"/>
    </row>
    <row r="44" spans="1:24" s="1123" customFormat="1" x14ac:dyDescent="0.25">
      <c r="A44" s="1074"/>
      <c r="B44" s="1074"/>
      <c r="C44" s="1886"/>
      <c r="D44" s="1886"/>
      <c r="E44" s="1887"/>
      <c r="F44" s="1124"/>
      <c r="G44" s="1074"/>
      <c r="H44" s="1074"/>
      <c r="I44" s="1074"/>
      <c r="J44" s="1074"/>
      <c r="K44" s="1074"/>
      <c r="L44" s="1074"/>
      <c r="M44" s="1124"/>
      <c r="N44" s="1074"/>
      <c r="O44" s="1074"/>
      <c r="P44" s="1074"/>
      <c r="Q44" s="1074"/>
      <c r="R44" s="1074"/>
      <c r="S44" s="1074"/>
      <c r="T44" s="1074"/>
      <c r="U44" s="1074"/>
      <c r="V44" s="1124"/>
    </row>
    <row r="49" spans="16:16" x14ac:dyDescent="0.25">
      <c r="P49" s="1341"/>
    </row>
  </sheetData>
  <mergeCells count="24">
    <mergeCell ref="P2:Q2"/>
    <mergeCell ref="A3:Q4"/>
    <mergeCell ref="A8:A10"/>
    <mergeCell ref="B8:B10"/>
    <mergeCell ref="C8:C10"/>
    <mergeCell ref="D8:D10"/>
    <mergeCell ref="E8:E10"/>
    <mergeCell ref="F8:I8"/>
    <mergeCell ref="J8:M8"/>
    <mergeCell ref="N8:Q8"/>
    <mergeCell ref="A28:A29"/>
    <mergeCell ref="B28:B29"/>
    <mergeCell ref="C28:C29"/>
    <mergeCell ref="F9:F10"/>
    <mergeCell ref="G9:H9"/>
    <mergeCell ref="P41:Q41"/>
    <mergeCell ref="C44:E44"/>
    <mergeCell ref="N9:N10"/>
    <mergeCell ref="O9:P9"/>
    <mergeCell ref="Q9:Q10"/>
    <mergeCell ref="I9:I10"/>
    <mergeCell ref="J9:J10"/>
    <mergeCell ref="K9:L9"/>
    <mergeCell ref="M9:M10"/>
  </mergeCells>
  <printOptions horizontalCentered="1"/>
  <pageMargins left="0.23622047244094491" right="0.19685039370078741" top="0.23622047244094491" bottom="0.27559055118110237" header="0.23622047244094491" footer="0.23622047244094491"/>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A108"/>
  <sheetViews>
    <sheetView view="pageBreakPreview" topLeftCell="A2" zoomScaleNormal="100" zoomScaleSheetLayoutView="100" workbookViewId="0">
      <selection activeCell="F69" sqref="F69"/>
    </sheetView>
  </sheetViews>
  <sheetFormatPr defaultColWidth="9.109375" defaultRowHeight="13.8" x14ac:dyDescent="0.25"/>
  <cols>
    <col min="1" max="1" width="15.109375" style="1356" customWidth="1"/>
    <col min="2" max="2" width="15.44140625" style="1357" customWidth="1"/>
    <col min="3" max="3" width="55.6640625" style="1353" customWidth="1"/>
    <col min="4" max="4" width="39.109375" style="1358" customWidth="1"/>
    <col min="5" max="5" width="14.44140625" style="1353" bestFit="1" customWidth="1"/>
    <col min="6" max="256" width="9.109375" style="1353"/>
    <col min="257" max="257" width="15.109375" style="1353" customWidth="1"/>
    <col min="258" max="258" width="15.44140625" style="1353" customWidth="1"/>
    <col min="259" max="259" width="55.6640625" style="1353" customWidth="1"/>
    <col min="260" max="260" width="39.109375" style="1353" customWidth="1"/>
    <col min="261" max="261" width="14.44140625" style="1353" bestFit="1" customWidth="1"/>
    <col min="262" max="512" width="9.109375" style="1353"/>
    <col min="513" max="513" width="15.109375" style="1353" customWidth="1"/>
    <col min="514" max="514" width="15.44140625" style="1353" customWidth="1"/>
    <col min="515" max="515" width="55.6640625" style="1353" customWidth="1"/>
    <col min="516" max="516" width="39.109375" style="1353" customWidth="1"/>
    <col min="517" max="517" width="14.44140625" style="1353" bestFit="1" customWidth="1"/>
    <col min="518" max="768" width="9.109375" style="1353"/>
    <col min="769" max="769" width="15.109375" style="1353" customWidth="1"/>
    <col min="770" max="770" width="15.44140625" style="1353" customWidth="1"/>
    <col min="771" max="771" width="55.6640625" style="1353" customWidth="1"/>
    <col min="772" max="772" width="39.109375" style="1353" customWidth="1"/>
    <col min="773" max="773" width="14.44140625" style="1353" bestFit="1" customWidth="1"/>
    <col min="774" max="1024" width="9.109375" style="1353"/>
    <col min="1025" max="1025" width="15.109375" style="1353" customWidth="1"/>
    <col min="1026" max="1026" width="15.44140625" style="1353" customWidth="1"/>
    <col min="1027" max="1027" width="55.6640625" style="1353" customWidth="1"/>
    <col min="1028" max="1028" width="39.109375" style="1353" customWidth="1"/>
    <col min="1029" max="1029" width="14.44140625" style="1353" bestFit="1" customWidth="1"/>
    <col min="1030" max="1280" width="9.109375" style="1353"/>
    <col min="1281" max="1281" width="15.109375" style="1353" customWidth="1"/>
    <col min="1282" max="1282" width="15.44140625" style="1353" customWidth="1"/>
    <col min="1283" max="1283" width="55.6640625" style="1353" customWidth="1"/>
    <col min="1284" max="1284" width="39.109375" style="1353" customWidth="1"/>
    <col min="1285" max="1285" width="14.44140625" style="1353" bestFit="1" customWidth="1"/>
    <col min="1286" max="1536" width="9.109375" style="1353"/>
    <col min="1537" max="1537" width="15.109375" style="1353" customWidth="1"/>
    <col min="1538" max="1538" width="15.44140625" style="1353" customWidth="1"/>
    <col min="1539" max="1539" width="55.6640625" style="1353" customWidth="1"/>
    <col min="1540" max="1540" width="39.109375" style="1353" customWidth="1"/>
    <col min="1541" max="1541" width="14.44140625" style="1353" bestFit="1" customWidth="1"/>
    <col min="1542" max="1792" width="9.109375" style="1353"/>
    <col min="1793" max="1793" width="15.109375" style="1353" customWidth="1"/>
    <col min="1794" max="1794" width="15.44140625" style="1353" customWidth="1"/>
    <col min="1795" max="1795" width="55.6640625" style="1353" customWidth="1"/>
    <col min="1796" max="1796" width="39.109375" style="1353" customWidth="1"/>
    <col min="1797" max="1797" width="14.44140625" style="1353" bestFit="1" customWidth="1"/>
    <col min="1798" max="2048" width="9.109375" style="1353"/>
    <col min="2049" max="2049" width="15.109375" style="1353" customWidth="1"/>
    <col min="2050" max="2050" width="15.44140625" style="1353" customWidth="1"/>
    <col min="2051" max="2051" width="55.6640625" style="1353" customWidth="1"/>
    <col min="2052" max="2052" width="39.109375" style="1353" customWidth="1"/>
    <col min="2053" max="2053" width="14.44140625" style="1353" bestFit="1" customWidth="1"/>
    <col min="2054" max="2304" width="9.109375" style="1353"/>
    <col min="2305" max="2305" width="15.109375" style="1353" customWidth="1"/>
    <col min="2306" max="2306" width="15.44140625" style="1353" customWidth="1"/>
    <col min="2307" max="2307" width="55.6640625" style="1353" customWidth="1"/>
    <col min="2308" max="2308" width="39.109375" style="1353" customWidth="1"/>
    <col min="2309" max="2309" width="14.44140625" style="1353" bestFit="1" customWidth="1"/>
    <col min="2310" max="2560" width="9.109375" style="1353"/>
    <col min="2561" max="2561" width="15.109375" style="1353" customWidth="1"/>
    <col min="2562" max="2562" width="15.44140625" style="1353" customWidth="1"/>
    <col min="2563" max="2563" width="55.6640625" style="1353" customWidth="1"/>
    <col min="2564" max="2564" width="39.109375" style="1353" customWidth="1"/>
    <col min="2565" max="2565" width="14.44140625" style="1353" bestFit="1" customWidth="1"/>
    <col min="2566" max="2816" width="9.109375" style="1353"/>
    <col min="2817" max="2817" width="15.109375" style="1353" customWidth="1"/>
    <col min="2818" max="2818" width="15.44140625" style="1353" customWidth="1"/>
    <col min="2819" max="2819" width="55.6640625" style="1353" customWidth="1"/>
    <col min="2820" max="2820" width="39.109375" style="1353" customWidth="1"/>
    <col min="2821" max="2821" width="14.44140625" style="1353" bestFit="1" customWidth="1"/>
    <col min="2822" max="3072" width="9.109375" style="1353"/>
    <col min="3073" max="3073" width="15.109375" style="1353" customWidth="1"/>
    <col min="3074" max="3074" width="15.44140625" style="1353" customWidth="1"/>
    <col min="3075" max="3075" width="55.6640625" style="1353" customWidth="1"/>
    <col min="3076" max="3076" width="39.109375" style="1353" customWidth="1"/>
    <col min="3077" max="3077" width="14.44140625" style="1353" bestFit="1" customWidth="1"/>
    <col min="3078" max="3328" width="9.109375" style="1353"/>
    <col min="3329" max="3329" width="15.109375" style="1353" customWidth="1"/>
    <col min="3330" max="3330" width="15.44140625" style="1353" customWidth="1"/>
    <col min="3331" max="3331" width="55.6640625" style="1353" customWidth="1"/>
    <col min="3332" max="3332" width="39.109375" style="1353" customWidth="1"/>
    <col min="3333" max="3333" width="14.44140625" style="1353" bestFit="1" customWidth="1"/>
    <col min="3334" max="3584" width="9.109375" style="1353"/>
    <col min="3585" max="3585" width="15.109375" style="1353" customWidth="1"/>
    <col min="3586" max="3586" width="15.44140625" style="1353" customWidth="1"/>
    <col min="3587" max="3587" width="55.6640625" style="1353" customWidth="1"/>
    <col min="3588" max="3588" width="39.109375" style="1353" customWidth="1"/>
    <col min="3589" max="3589" width="14.44140625" style="1353" bestFit="1" customWidth="1"/>
    <col min="3590" max="3840" width="9.109375" style="1353"/>
    <col min="3841" max="3841" width="15.109375" style="1353" customWidth="1"/>
    <col min="3842" max="3842" width="15.44140625" style="1353" customWidth="1"/>
    <col min="3843" max="3843" width="55.6640625" style="1353" customWidth="1"/>
    <col min="3844" max="3844" width="39.109375" style="1353" customWidth="1"/>
    <col min="3845" max="3845" width="14.44140625" style="1353" bestFit="1" customWidth="1"/>
    <col min="3846" max="4096" width="9.109375" style="1353"/>
    <col min="4097" max="4097" width="15.109375" style="1353" customWidth="1"/>
    <col min="4098" max="4098" width="15.44140625" style="1353" customWidth="1"/>
    <col min="4099" max="4099" width="55.6640625" style="1353" customWidth="1"/>
    <col min="4100" max="4100" width="39.109375" style="1353" customWidth="1"/>
    <col min="4101" max="4101" width="14.44140625" style="1353" bestFit="1" customWidth="1"/>
    <col min="4102" max="4352" width="9.109375" style="1353"/>
    <col min="4353" max="4353" width="15.109375" style="1353" customWidth="1"/>
    <col min="4354" max="4354" width="15.44140625" style="1353" customWidth="1"/>
    <col min="4355" max="4355" width="55.6640625" style="1353" customWidth="1"/>
    <col min="4356" max="4356" width="39.109375" style="1353" customWidth="1"/>
    <col min="4357" max="4357" width="14.44140625" style="1353" bestFit="1" customWidth="1"/>
    <col min="4358" max="4608" width="9.109375" style="1353"/>
    <col min="4609" max="4609" width="15.109375" style="1353" customWidth="1"/>
    <col min="4610" max="4610" width="15.44140625" style="1353" customWidth="1"/>
    <col min="4611" max="4611" width="55.6640625" style="1353" customWidth="1"/>
    <col min="4612" max="4612" width="39.109375" style="1353" customWidth="1"/>
    <col min="4613" max="4613" width="14.44140625" style="1353" bestFit="1" customWidth="1"/>
    <col min="4614" max="4864" width="9.109375" style="1353"/>
    <col min="4865" max="4865" width="15.109375" style="1353" customWidth="1"/>
    <col min="4866" max="4866" width="15.44140625" style="1353" customWidth="1"/>
    <col min="4867" max="4867" width="55.6640625" style="1353" customWidth="1"/>
    <col min="4868" max="4868" width="39.109375" style="1353" customWidth="1"/>
    <col min="4869" max="4869" width="14.44140625" style="1353" bestFit="1" customWidth="1"/>
    <col min="4870" max="5120" width="9.109375" style="1353"/>
    <col min="5121" max="5121" width="15.109375" style="1353" customWidth="1"/>
    <col min="5122" max="5122" width="15.44140625" style="1353" customWidth="1"/>
    <col min="5123" max="5123" width="55.6640625" style="1353" customWidth="1"/>
    <col min="5124" max="5124" width="39.109375" style="1353" customWidth="1"/>
    <col min="5125" max="5125" width="14.44140625" style="1353" bestFit="1" customWidth="1"/>
    <col min="5126" max="5376" width="9.109375" style="1353"/>
    <col min="5377" max="5377" width="15.109375" style="1353" customWidth="1"/>
    <col min="5378" max="5378" width="15.44140625" style="1353" customWidth="1"/>
    <col min="5379" max="5379" width="55.6640625" style="1353" customWidth="1"/>
    <col min="5380" max="5380" width="39.109375" style="1353" customWidth="1"/>
    <col min="5381" max="5381" width="14.44140625" style="1353" bestFit="1" customWidth="1"/>
    <col min="5382" max="5632" width="9.109375" style="1353"/>
    <col min="5633" max="5633" width="15.109375" style="1353" customWidth="1"/>
    <col min="5634" max="5634" width="15.44140625" style="1353" customWidth="1"/>
    <col min="5635" max="5635" width="55.6640625" style="1353" customWidth="1"/>
    <col min="5636" max="5636" width="39.109375" style="1353" customWidth="1"/>
    <col min="5637" max="5637" width="14.44140625" style="1353" bestFit="1" customWidth="1"/>
    <col min="5638" max="5888" width="9.109375" style="1353"/>
    <col min="5889" max="5889" width="15.109375" style="1353" customWidth="1"/>
    <col min="5890" max="5890" width="15.44140625" style="1353" customWidth="1"/>
    <col min="5891" max="5891" width="55.6640625" style="1353" customWidth="1"/>
    <col min="5892" max="5892" width="39.109375" style="1353" customWidth="1"/>
    <col min="5893" max="5893" width="14.44140625" style="1353" bestFit="1" customWidth="1"/>
    <col min="5894" max="6144" width="9.109375" style="1353"/>
    <col min="6145" max="6145" width="15.109375" style="1353" customWidth="1"/>
    <col min="6146" max="6146" width="15.44140625" style="1353" customWidth="1"/>
    <col min="6147" max="6147" width="55.6640625" style="1353" customWidth="1"/>
    <col min="6148" max="6148" width="39.109375" style="1353" customWidth="1"/>
    <col min="6149" max="6149" width="14.44140625" style="1353" bestFit="1" customWidth="1"/>
    <col min="6150" max="6400" width="9.109375" style="1353"/>
    <col min="6401" max="6401" width="15.109375" style="1353" customWidth="1"/>
    <col min="6402" max="6402" width="15.44140625" style="1353" customWidth="1"/>
    <col min="6403" max="6403" width="55.6640625" style="1353" customWidth="1"/>
    <col min="6404" max="6404" width="39.109375" style="1353" customWidth="1"/>
    <col min="6405" max="6405" width="14.44140625" style="1353" bestFit="1" customWidth="1"/>
    <col min="6406" max="6656" width="9.109375" style="1353"/>
    <col min="6657" max="6657" width="15.109375" style="1353" customWidth="1"/>
    <col min="6658" max="6658" width="15.44140625" style="1353" customWidth="1"/>
    <col min="6659" max="6659" width="55.6640625" style="1353" customWidth="1"/>
    <col min="6660" max="6660" width="39.109375" style="1353" customWidth="1"/>
    <col min="6661" max="6661" width="14.44140625" style="1353" bestFit="1" customWidth="1"/>
    <col min="6662" max="6912" width="9.109375" style="1353"/>
    <col min="6913" max="6913" width="15.109375" style="1353" customWidth="1"/>
    <col min="6914" max="6914" width="15.44140625" style="1353" customWidth="1"/>
    <col min="6915" max="6915" width="55.6640625" style="1353" customWidth="1"/>
    <col min="6916" max="6916" width="39.109375" style="1353" customWidth="1"/>
    <col min="6917" max="6917" width="14.44140625" style="1353" bestFit="1" customWidth="1"/>
    <col min="6918" max="7168" width="9.109375" style="1353"/>
    <col min="7169" max="7169" width="15.109375" style="1353" customWidth="1"/>
    <col min="7170" max="7170" width="15.44140625" style="1353" customWidth="1"/>
    <col min="7171" max="7171" width="55.6640625" style="1353" customWidth="1"/>
    <col min="7172" max="7172" width="39.109375" style="1353" customWidth="1"/>
    <col min="7173" max="7173" width="14.44140625" style="1353" bestFit="1" customWidth="1"/>
    <col min="7174" max="7424" width="9.109375" style="1353"/>
    <col min="7425" max="7425" width="15.109375" style="1353" customWidth="1"/>
    <col min="7426" max="7426" width="15.44140625" style="1353" customWidth="1"/>
    <col min="7427" max="7427" width="55.6640625" style="1353" customWidth="1"/>
    <col min="7428" max="7428" width="39.109375" style="1353" customWidth="1"/>
    <col min="7429" max="7429" width="14.44140625" style="1353" bestFit="1" customWidth="1"/>
    <col min="7430" max="7680" width="9.109375" style="1353"/>
    <col min="7681" max="7681" width="15.109375" style="1353" customWidth="1"/>
    <col min="7682" max="7682" width="15.44140625" style="1353" customWidth="1"/>
    <col min="7683" max="7683" width="55.6640625" style="1353" customWidth="1"/>
    <col min="7684" max="7684" width="39.109375" style="1353" customWidth="1"/>
    <col min="7685" max="7685" width="14.44140625" style="1353" bestFit="1" customWidth="1"/>
    <col min="7686" max="7936" width="9.109375" style="1353"/>
    <col min="7937" max="7937" width="15.109375" style="1353" customWidth="1"/>
    <col min="7938" max="7938" width="15.44140625" style="1353" customWidth="1"/>
    <col min="7939" max="7939" width="55.6640625" style="1353" customWidth="1"/>
    <col min="7940" max="7940" width="39.109375" style="1353" customWidth="1"/>
    <col min="7941" max="7941" width="14.44140625" style="1353" bestFit="1" customWidth="1"/>
    <col min="7942" max="8192" width="9.109375" style="1353"/>
    <col min="8193" max="8193" width="15.109375" style="1353" customWidth="1"/>
    <col min="8194" max="8194" width="15.44140625" style="1353" customWidth="1"/>
    <col min="8195" max="8195" width="55.6640625" style="1353" customWidth="1"/>
    <col min="8196" max="8196" width="39.109375" style="1353" customWidth="1"/>
    <col min="8197" max="8197" width="14.44140625" style="1353" bestFit="1" customWidth="1"/>
    <col min="8198" max="8448" width="9.109375" style="1353"/>
    <col min="8449" max="8449" width="15.109375" style="1353" customWidth="1"/>
    <col min="8450" max="8450" width="15.44140625" style="1353" customWidth="1"/>
    <col min="8451" max="8451" width="55.6640625" style="1353" customWidth="1"/>
    <col min="8452" max="8452" width="39.109375" style="1353" customWidth="1"/>
    <col min="8453" max="8453" width="14.44140625" style="1353" bestFit="1" customWidth="1"/>
    <col min="8454" max="8704" width="9.109375" style="1353"/>
    <col min="8705" max="8705" width="15.109375" style="1353" customWidth="1"/>
    <col min="8706" max="8706" width="15.44140625" style="1353" customWidth="1"/>
    <col min="8707" max="8707" width="55.6640625" style="1353" customWidth="1"/>
    <col min="8708" max="8708" width="39.109375" style="1353" customWidth="1"/>
    <col min="8709" max="8709" width="14.44140625" style="1353" bestFit="1" customWidth="1"/>
    <col min="8710" max="8960" width="9.109375" style="1353"/>
    <col min="8961" max="8961" width="15.109375" style="1353" customWidth="1"/>
    <col min="8962" max="8962" width="15.44140625" style="1353" customWidth="1"/>
    <col min="8963" max="8963" width="55.6640625" style="1353" customWidth="1"/>
    <col min="8964" max="8964" width="39.109375" style="1353" customWidth="1"/>
    <col min="8965" max="8965" width="14.44140625" style="1353" bestFit="1" customWidth="1"/>
    <col min="8966" max="9216" width="9.109375" style="1353"/>
    <col min="9217" max="9217" width="15.109375" style="1353" customWidth="1"/>
    <col min="9218" max="9218" width="15.44140625" style="1353" customWidth="1"/>
    <col min="9219" max="9219" width="55.6640625" style="1353" customWidth="1"/>
    <col min="9220" max="9220" width="39.109375" style="1353" customWidth="1"/>
    <col min="9221" max="9221" width="14.44140625" style="1353" bestFit="1" customWidth="1"/>
    <col min="9222" max="9472" width="9.109375" style="1353"/>
    <col min="9473" max="9473" width="15.109375" style="1353" customWidth="1"/>
    <col min="9474" max="9474" width="15.44140625" style="1353" customWidth="1"/>
    <col min="9475" max="9475" width="55.6640625" style="1353" customWidth="1"/>
    <col min="9476" max="9476" width="39.109375" style="1353" customWidth="1"/>
    <col min="9477" max="9477" width="14.44140625" style="1353" bestFit="1" customWidth="1"/>
    <col min="9478" max="9728" width="9.109375" style="1353"/>
    <col min="9729" max="9729" width="15.109375" style="1353" customWidth="1"/>
    <col min="9730" max="9730" width="15.44140625" style="1353" customWidth="1"/>
    <col min="9731" max="9731" width="55.6640625" style="1353" customWidth="1"/>
    <col min="9732" max="9732" width="39.109375" style="1353" customWidth="1"/>
    <col min="9733" max="9733" width="14.44140625" style="1353" bestFit="1" customWidth="1"/>
    <col min="9734" max="9984" width="9.109375" style="1353"/>
    <col min="9985" max="9985" width="15.109375" style="1353" customWidth="1"/>
    <col min="9986" max="9986" width="15.44140625" style="1353" customWidth="1"/>
    <col min="9987" max="9987" width="55.6640625" style="1353" customWidth="1"/>
    <col min="9988" max="9988" width="39.109375" style="1353" customWidth="1"/>
    <col min="9989" max="9989" width="14.44140625" style="1353" bestFit="1" customWidth="1"/>
    <col min="9990" max="10240" width="9.109375" style="1353"/>
    <col min="10241" max="10241" width="15.109375" style="1353" customWidth="1"/>
    <col min="10242" max="10242" width="15.44140625" style="1353" customWidth="1"/>
    <col min="10243" max="10243" width="55.6640625" style="1353" customWidth="1"/>
    <col min="10244" max="10244" width="39.109375" style="1353" customWidth="1"/>
    <col min="10245" max="10245" width="14.44140625" style="1353" bestFit="1" customWidth="1"/>
    <col min="10246" max="10496" width="9.109375" style="1353"/>
    <col min="10497" max="10497" width="15.109375" style="1353" customWidth="1"/>
    <col min="10498" max="10498" width="15.44140625" style="1353" customWidth="1"/>
    <col min="10499" max="10499" width="55.6640625" style="1353" customWidth="1"/>
    <col min="10500" max="10500" width="39.109375" style="1353" customWidth="1"/>
    <col min="10501" max="10501" width="14.44140625" style="1353" bestFit="1" customWidth="1"/>
    <col min="10502" max="10752" width="9.109375" style="1353"/>
    <col min="10753" max="10753" width="15.109375" style="1353" customWidth="1"/>
    <col min="10754" max="10754" width="15.44140625" style="1353" customWidth="1"/>
    <col min="10755" max="10755" width="55.6640625" style="1353" customWidth="1"/>
    <col min="10756" max="10756" width="39.109375" style="1353" customWidth="1"/>
    <col min="10757" max="10757" width="14.44140625" style="1353" bestFit="1" customWidth="1"/>
    <col min="10758" max="11008" width="9.109375" style="1353"/>
    <col min="11009" max="11009" width="15.109375" style="1353" customWidth="1"/>
    <col min="11010" max="11010" width="15.44140625" style="1353" customWidth="1"/>
    <col min="11011" max="11011" width="55.6640625" style="1353" customWidth="1"/>
    <col min="11012" max="11012" width="39.109375" style="1353" customWidth="1"/>
    <col min="11013" max="11013" width="14.44140625" style="1353" bestFit="1" customWidth="1"/>
    <col min="11014" max="11264" width="9.109375" style="1353"/>
    <col min="11265" max="11265" width="15.109375" style="1353" customWidth="1"/>
    <col min="11266" max="11266" width="15.44140625" style="1353" customWidth="1"/>
    <col min="11267" max="11267" width="55.6640625" style="1353" customWidth="1"/>
    <col min="11268" max="11268" width="39.109375" style="1353" customWidth="1"/>
    <col min="11269" max="11269" width="14.44140625" style="1353" bestFit="1" customWidth="1"/>
    <col min="11270" max="11520" width="9.109375" style="1353"/>
    <col min="11521" max="11521" width="15.109375" style="1353" customWidth="1"/>
    <col min="11522" max="11522" width="15.44140625" style="1353" customWidth="1"/>
    <col min="11523" max="11523" width="55.6640625" style="1353" customWidth="1"/>
    <col min="11524" max="11524" width="39.109375" style="1353" customWidth="1"/>
    <col min="11525" max="11525" width="14.44140625" style="1353" bestFit="1" customWidth="1"/>
    <col min="11526" max="11776" width="9.109375" style="1353"/>
    <col min="11777" max="11777" width="15.109375" style="1353" customWidth="1"/>
    <col min="11778" max="11778" width="15.44140625" style="1353" customWidth="1"/>
    <col min="11779" max="11779" width="55.6640625" style="1353" customWidth="1"/>
    <col min="11780" max="11780" width="39.109375" style="1353" customWidth="1"/>
    <col min="11781" max="11781" width="14.44140625" style="1353" bestFit="1" customWidth="1"/>
    <col min="11782" max="12032" width="9.109375" style="1353"/>
    <col min="12033" max="12033" width="15.109375" style="1353" customWidth="1"/>
    <col min="12034" max="12034" width="15.44140625" style="1353" customWidth="1"/>
    <col min="12035" max="12035" width="55.6640625" style="1353" customWidth="1"/>
    <col min="12036" max="12036" width="39.109375" style="1353" customWidth="1"/>
    <col min="12037" max="12037" width="14.44140625" style="1353" bestFit="1" customWidth="1"/>
    <col min="12038" max="12288" width="9.109375" style="1353"/>
    <col min="12289" max="12289" width="15.109375" style="1353" customWidth="1"/>
    <col min="12290" max="12290" width="15.44140625" style="1353" customWidth="1"/>
    <col min="12291" max="12291" width="55.6640625" style="1353" customWidth="1"/>
    <col min="12292" max="12292" width="39.109375" style="1353" customWidth="1"/>
    <col min="12293" max="12293" width="14.44140625" style="1353" bestFit="1" customWidth="1"/>
    <col min="12294" max="12544" width="9.109375" style="1353"/>
    <col min="12545" max="12545" width="15.109375" style="1353" customWidth="1"/>
    <col min="12546" max="12546" width="15.44140625" style="1353" customWidth="1"/>
    <col min="12547" max="12547" width="55.6640625" style="1353" customWidth="1"/>
    <col min="12548" max="12548" width="39.109375" style="1353" customWidth="1"/>
    <col min="12549" max="12549" width="14.44140625" style="1353" bestFit="1" customWidth="1"/>
    <col min="12550" max="12800" width="9.109375" style="1353"/>
    <col min="12801" max="12801" width="15.109375" style="1353" customWidth="1"/>
    <col min="12802" max="12802" width="15.44140625" style="1353" customWidth="1"/>
    <col min="12803" max="12803" width="55.6640625" style="1353" customWidth="1"/>
    <col min="12804" max="12804" width="39.109375" style="1353" customWidth="1"/>
    <col min="12805" max="12805" width="14.44140625" style="1353" bestFit="1" customWidth="1"/>
    <col min="12806" max="13056" width="9.109375" style="1353"/>
    <col min="13057" max="13057" width="15.109375" style="1353" customWidth="1"/>
    <col min="13058" max="13058" width="15.44140625" style="1353" customWidth="1"/>
    <col min="13059" max="13059" width="55.6640625" style="1353" customWidth="1"/>
    <col min="13060" max="13060" width="39.109375" style="1353" customWidth="1"/>
    <col min="13061" max="13061" width="14.44140625" style="1353" bestFit="1" customWidth="1"/>
    <col min="13062" max="13312" width="9.109375" style="1353"/>
    <col min="13313" max="13313" width="15.109375" style="1353" customWidth="1"/>
    <col min="13314" max="13314" width="15.44140625" style="1353" customWidth="1"/>
    <col min="13315" max="13315" width="55.6640625" style="1353" customWidth="1"/>
    <col min="13316" max="13316" width="39.109375" style="1353" customWidth="1"/>
    <col min="13317" max="13317" width="14.44140625" style="1353" bestFit="1" customWidth="1"/>
    <col min="13318" max="13568" width="9.109375" style="1353"/>
    <col min="13569" max="13569" width="15.109375" style="1353" customWidth="1"/>
    <col min="13570" max="13570" width="15.44140625" style="1353" customWidth="1"/>
    <col min="13571" max="13571" width="55.6640625" style="1353" customWidth="1"/>
    <col min="13572" max="13572" width="39.109375" style="1353" customWidth="1"/>
    <col min="13573" max="13573" width="14.44140625" style="1353" bestFit="1" customWidth="1"/>
    <col min="13574" max="13824" width="9.109375" style="1353"/>
    <col min="13825" max="13825" width="15.109375" style="1353" customWidth="1"/>
    <col min="13826" max="13826" width="15.44140625" style="1353" customWidth="1"/>
    <col min="13827" max="13827" width="55.6640625" style="1353" customWidth="1"/>
    <col min="13828" max="13828" width="39.109375" style="1353" customWidth="1"/>
    <col min="13829" max="13829" width="14.44140625" style="1353" bestFit="1" customWidth="1"/>
    <col min="13830" max="14080" width="9.109375" style="1353"/>
    <col min="14081" max="14081" width="15.109375" style="1353" customWidth="1"/>
    <col min="14082" max="14082" width="15.44140625" style="1353" customWidth="1"/>
    <col min="14083" max="14083" width="55.6640625" style="1353" customWidth="1"/>
    <col min="14084" max="14084" width="39.109375" style="1353" customWidth="1"/>
    <col min="14085" max="14085" width="14.44140625" style="1353" bestFit="1" customWidth="1"/>
    <col min="14086" max="14336" width="9.109375" style="1353"/>
    <col min="14337" max="14337" width="15.109375" style="1353" customWidth="1"/>
    <col min="14338" max="14338" width="15.44140625" style="1353" customWidth="1"/>
    <col min="14339" max="14339" width="55.6640625" style="1353" customWidth="1"/>
    <col min="14340" max="14340" width="39.109375" style="1353" customWidth="1"/>
    <col min="14341" max="14341" width="14.44140625" style="1353" bestFit="1" customWidth="1"/>
    <col min="14342" max="14592" width="9.109375" style="1353"/>
    <col min="14593" max="14593" width="15.109375" style="1353" customWidth="1"/>
    <col min="14594" max="14594" width="15.44140625" style="1353" customWidth="1"/>
    <col min="14595" max="14595" width="55.6640625" style="1353" customWidth="1"/>
    <col min="14596" max="14596" width="39.109375" style="1353" customWidth="1"/>
    <col min="14597" max="14597" width="14.44140625" style="1353" bestFit="1" customWidth="1"/>
    <col min="14598" max="14848" width="9.109375" style="1353"/>
    <col min="14849" max="14849" width="15.109375" style="1353" customWidth="1"/>
    <col min="14850" max="14850" width="15.44140625" style="1353" customWidth="1"/>
    <col min="14851" max="14851" width="55.6640625" style="1353" customWidth="1"/>
    <col min="14852" max="14852" width="39.109375" style="1353" customWidth="1"/>
    <col min="14853" max="14853" width="14.44140625" style="1353" bestFit="1" customWidth="1"/>
    <col min="14854" max="15104" width="9.109375" style="1353"/>
    <col min="15105" max="15105" width="15.109375" style="1353" customWidth="1"/>
    <col min="15106" max="15106" width="15.44140625" style="1353" customWidth="1"/>
    <col min="15107" max="15107" width="55.6640625" style="1353" customWidth="1"/>
    <col min="15108" max="15108" width="39.109375" style="1353" customWidth="1"/>
    <col min="15109" max="15109" width="14.44140625" style="1353" bestFit="1" customWidth="1"/>
    <col min="15110" max="15360" width="9.109375" style="1353"/>
    <col min="15361" max="15361" width="15.109375" style="1353" customWidth="1"/>
    <col min="15362" max="15362" width="15.44140625" style="1353" customWidth="1"/>
    <col min="15363" max="15363" width="55.6640625" style="1353" customWidth="1"/>
    <col min="15364" max="15364" width="39.109375" style="1353" customWidth="1"/>
    <col min="15365" max="15365" width="14.44140625" style="1353" bestFit="1" customWidth="1"/>
    <col min="15366" max="15616" width="9.109375" style="1353"/>
    <col min="15617" max="15617" width="15.109375" style="1353" customWidth="1"/>
    <col min="15618" max="15618" width="15.44140625" style="1353" customWidth="1"/>
    <col min="15619" max="15619" width="55.6640625" style="1353" customWidth="1"/>
    <col min="15620" max="15620" width="39.109375" style="1353" customWidth="1"/>
    <col min="15621" max="15621" width="14.44140625" style="1353" bestFit="1" customWidth="1"/>
    <col min="15622" max="15872" width="9.109375" style="1353"/>
    <col min="15873" max="15873" width="15.109375" style="1353" customWidth="1"/>
    <col min="15874" max="15874" width="15.44140625" style="1353" customWidth="1"/>
    <col min="15875" max="15875" width="55.6640625" style="1353" customWidth="1"/>
    <col min="15876" max="15876" width="39.109375" style="1353" customWidth="1"/>
    <col min="15877" max="15877" width="14.44140625" style="1353" bestFit="1" customWidth="1"/>
    <col min="15878" max="16128" width="9.109375" style="1353"/>
    <col min="16129" max="16129" width="15.109375" style="1353" customWidth="1"/>
    <col min="16130" max="16130" width="15.44140625" style="1353" customWidth="1"/>
    <col min="16131" max="16131" width="55.6640625" style="1353" customWidth="1"/>
    <col min="16132" max="16132" width="39.109375" style="1353" customWidth="1"/>
    <col min="16133" max="16133" width="14.44140625" style="1353" bestFit="1" customWidth="1"/>
    <col min="16134" max="16384" width="9.109375" style="1353"/>
  </cols>
  <sheetData>
    <row r="1" spans="1:12" s="1352" customFormat="1" ht="92.4" customHeight="1" x14ac:dyDescent="0.25">
      <c r="A1" s="1351"/>
      <c r="B1" s="1351"/>
      <c r="D1" s="1075" t="s">
        <v>1533</v>
      </c>
      <c r="E1" s="1075"/>
      <c r="F1" s="1075"/>
      <c r="G1" s="1075"/>
      <c r="H1" s="1075"/>
      <c r="I1" s="1075"/>
      <c r="J1" s="1075"/>
      <c r="K1" s="1075"/>
      <c r="L1" s="1075"/>
    </row>
    <row r="2" spans="1:12" s="1352" customFormat="1" ht="17.399999999999999" x14ac:dyDescent="0.25">
      <c r="A2" s="1351"/>
      <c r="B2" s="1351"/>
      <c r="D2" s="1075"/>
      <c r="E2" s="1075"/>
      <c r="F2" s="1075"/>
      <c r="G2" s="1075"/>
      <c r="H2" s="1075"/>
      <c r="I2" s="1075"/>
      <c r="J2" s="1075"/>
      <c r="K2" s="1075"/>
      <c r="L2" s="1075"/>
    </row>
    <row r="3" spans="1:12" ht="20.25" customHeight="1" x14ac:dyDescent="0.25">
      <c r="A3" s="1916" t="s">
        <v>1534</v>
      </c>
      <c r="B3" s="1916"/>
      <c r="C3" s="1916"/>
      <c r="D3" s="1917"/>
    </row>
    <row r="4" spans="1:12" x14ac:dyDescent="0.25">
      <c r="A4" s="1918">
        <v>2357600000</v>
      </c>
      <c r="B4" s="1918"/>
      <c r="C4" s="1918"/>
      <c r="D4" s="1918"/>
      <c r="E4" s="1354"/>
      <c r="F4" s="1354"/>
      <c r="G4" s="1354"/>
    </row>
    <row r="5" spans="1:12" x14ac:dyDescent="0.25">
      <c r="A5" s="1919" t="s">
        <v>691</v>
      </c>
      <c r="B5" s="1919"/>
      <c r="C5" s="1919"/>
      <c r="D5" s="1919"/>
      <c r="E5" s="1355"/>
      <c r="F5" s="1355"/>
      <c r="G5" s="1355"/>
    </row>
    <row r="7" spans="1:12" ht="17.399999999999999" x14ac:dyDescent="0.3">
      <c r="A7" s="1920" t="s">
        <v>1535</v>
      </c>
      <c r="B7" s="1920"/>
      <c r="C7" s="1920"/>
      <c r="D7" s="1921"/>
    </row>
    <row r="8" spans="1:12" x14ac:dyDescent="0.25">
      <c r="D8" s="1358" t="s">
        <v>830</v>
      </c>
    </row>
    <row r="9" spans="1:12" ht="66.599999999999994" customHeight="1" x14ac:dyDescent="0.25">
      <c r="A9" s="1359" t="s">
        <v>1536</v>
      </c>
      <c r="B9" s="1922" t="s">
        <v>1537</v>
      </c>
      <c r="C9" s="1922"/>
      <c r="D9" s="1360" t="s">
        <v>695</v>
      </c>
    </row>
    <row r="10" spans="1:12" x14ac:dyDescent="0.25">
      <c r="A10" s="1361">
        <v>1</v>
      </c>
      <c r="B10" s="1923">
        <v>2</v>
      </c>
      <c r="C10" s="1923"/>
      <c r="D10" s="1362">
        <v>3</v>
      </c>
    </row>
    <row r="11" spans="1:12" ht="15.6" x14ac:dyDescent="0.25">
      <c r="A11" s="1905" t="s">
        <v>1538</v>
      </c>
      <c r="B11" s="1905"/>
      <c r="C11" s="1905"/>
      <c r="D11" s="1905"/>
    </row>
    <row r="12" spans="1:12" ht="61.2" hidden="1" customHeight="1" x14ac:dyDescent="0.25">
      <c r="A12" s="1363">
        <v>41021400</v>
      </c>
      <c r="B12" s="1907" t="s">
        <v>197</v>
      </c>
      <c r="C12" s="1907"/>
      <c r="D12" s="1364"/>
    </row>
    <row r="13" spans="1:12" hidden="1" x14ac:dyDescent="0.25">
      <c r="A13" s="1363">
        <v>99000000000</v>
      </c>
      <c r="B13" s="1907" t="s">
        <v>1539</v>
      </c>
      <c r="C13" s="1907" t="s">
        <v>1540</v>
      </c>
      <c r="D13" s="1364">
        <f>D12</f>
        <v>0</v>
      </c>
    </row>
    <row r="14" spans="1:12" ht="47.4" hidden="1" customHeight="1" x14ac:dyDescent="0.25">
      <c r="A14" s="1363">
        <v>41033300</v>
      </c>
      <c r="B14" s="1907" t="s">
        <v>1541</v>
      </c>
      <c r="C14" s="1907"/>
      <c r="D14" s="1364"/>
    </row>
    <row r="15" spans="1:12" hidden="1" x14ac:dyDescent="0.25">
      <c r="A15" s="1363">
        <v>99000000000</v>
      </c>
      <c r="B15" s="1907" t="s">
        <v>1539</v>
      </c>
      <c r="C15" s="1907" t="s">
        <v>1540</v>
      </c>
      <c r="D15" s="1364">
        <f>D14</f>
        <v>0</v>
      </c>
    </row>
    <row r="16" spans="1:12" ht="47.4" hidden="1" customHeight="1" x14ac:dyDescent="0.25">
      <c r="A16" s="1363">
        <v>41033500</v>
      </c>
      <c r="B16" s="1907" t="s">
        <v>1541</v>
      </c>
      <c r="C16" s="1907"/>
      <c r="D16" s="1364"/>
    </row>
    <row r="17" spans="1:4" hidden="1" x14ac:dyDescent="0.25">
      <c r="A17" s="1363">
        <v>99000000000</v>
      </c>
      <c r="B17" s="1907" t="s">
        <v>1539</v>
      </c>
      <c r="C17" s="1907" t="s">
        <v>1540</v>
      </c>
      <c r="D17" s="1364">
        <f>D16</f>
        <v>0</v>
      </c>
    </row>
    <row r="18" spans="1:4" hidden="1" x14ac:dyDescent="0.25">
      <c r="A18" s="1363">
        <v>41033900</v>
      </c>
      <c r="B18" s="1907" t="s">
        <v>211</v>
      </c>
      <c r="C18" s="1907"/>
      <c r="D18" s="1364"/>
    </row>
    <row r="19" spans="1:4" hidden="1" x14ac:dyDescent="0.25">
      <c r="A19" s="1363">
        <v>99000000000</v>
      </c>
      <c r="B19" s="1907" t="s">
        <v>1539</v>
      </c>
      <c r="C19" s="1907" t="s">
        <v>1540</v>
      </c>
      <c r="D19" s="1364">
        <f>D18</f>
        <v>0</v>
      </c>
    </row>
    <row r="20" spans="1:4" ht="31.95" hidden="1" customHeight="1" x14ac:dyDescent="0.25">
      <c r="A20" s="1363">
        <v>41034500</v>
      </c>
      <c r="B20" s="1907" t="s">
        <v>213</v>
      </c>
      <c r="C20" s="1907"/>
      <c r="D20" s="1364"/>
    </row>
    <row r="21" spans="1:4" ht="13.95" hidden="1" customHeight="1" x14ac:dyDescent="0.25">
      <c r="A21" s="1365" t="s">
        <v>1542</v>
      </c>
      <c r="B21" s="1908" t="s">
        <v>1543</v>
      </c>
      <c r="C21" s="1908"/>
      <c r="D21" s="1364"/>
    </row>
    <row r="22" spans="1:4" ht="47.4" hidden="1" customHeight="1" x14ac:dyDescent="0.25">
      <c r="A22" s="1363">
        <v>41040200</v>
      </c>
      <c r="B22" s="1907" t="s">
        <v>786</v>
      </c>
      <c r="C22" s="1907"/>
      <c r="D22" s="1364"/>
    </row>
    <row r="23" spans="1:4" ht="15" hidden="1" customHeight="1" x14ac:dyDescent="0.25">
      <c r="A23" s="1365" t="s">
        <v>1542</v>
      </c>
      <c r="B23" s="1908" t="s">
        <v>1543</v>
      </c>
      <c r="C23" s="1908"/>
      <c r="D23" s="1364">
        <f>D22</f>
        <v>0</v>
      </c>
    </row>
    <row r="24" spans="1:4" ht="192.6" hidden="1" customHeight="1" x14ac:dyDescent="0.25">
      <c r="A24" s="1363">
        <v>41050400</v>
      </c>
      <c r="B24" s="1907" t="s">
        <v>221</v>
      </c>
      <c r="C24" s="1907"/>
      <c r="D24" s="1364"/>
    </row>
    <row r="25" spans="1:4" ht="15" hidden="1" customHeight="1" x14ac:dyDescent="0.25">
      <c r="A25" s="1365" t="s">
        <v>1542</v>
      </c>
      <c r="B25" s="1908" t="s">
        <v>1543</v>
      </c>
      <c r="C25" s="1908"/>
      <c r="D25" s="1364">
        <f>D24</f>
        <v>0</v>
      </c>
    </row>
    <row r="26" spans="1:4" ht="143.4" hidden="1" customHeight="1" x14ac:dyDescent="0.25">
      <c r="A26" s="1363">
        <v>41050500</v>
      </c>
      <c r="B26" s="1907" t="s">
        <v>222</v>
      </c>
      <c r="C26" s="1907"/>
      <c r="D26" s="1364"/>
    </row>
    <row r="27" spans="1:4" ht="15" hidden="1" customHeight="1" x14ac:dyDescent="0.25">
      <c r="A27" s="1365" t="s">
        <v>1542</v>
      </c>
      <c r="B27" s="1908" t="s">
        <v>1543</v>
      </c>
      <c r="C27" s="1908"/>
      <c r="D27" s="1364">
        <f>D26</f>
        <v>0</v>
      </c>
    </row>
    <row r="28" spans="1:4" ht="195.6" hidden="1" customHeight="1" x14ac:dyDescent="0.25">
      <c r="A28" s="1363">
        <v>41050600</v>
      </c>
      <c r="B28" s="1907" t="s">
        <v>1544</v>
      </c>
      <c r="C28" s="1907"/>
      <c r="D28" s="1364"/>
    </row>
    <row r="29" spans="1:4" ht="15" hidden="1" customHeight="1" x14ac:dyDescent="0.25">
      <c r="A29" s="1365" t="s">
        <v>1542</v>
      </c>
      <c r="B29" s="1908" t="s">
        <v>1543</v>
      </c>
      <c r="C29" s="1908"/>
      <c r="D29" s="1364">
        <f>D28</f>
        <v>0</v>
      </c>
    </row>
    <row r="30" spans="1:4" hidden="1" x14ac:dyDescent="0.25">
      <c r="A30" s="1363">
        <v>41040400</v>
      </c>
      <c r="B30" s="1907" t="s">
        <v>216</v>
      </c>
      <c r="C30" s="1907"/>
      <c r="D30" s="1364"/>
    </row>
    <row r="31" spans="1:4" hidden="1" x14ac:dyDescent="0.25">
      <c r="A31" s="1365" t="s">
        <v>1542</v>
      </c>
      <c r="B31" s="1908" t="s">
        <v>1543</v>
      </c>
      <c r="C31" s="1908"/>
      <c r="D31" s="1364">
        <f>D30</f>
        <v>0</v>
      </c>
    </row>
    <row r="32" spans="1:4" ht="184.2" hidden="1" customHeight="1" x14ac:dyDescent="0.25">
      <c r="A32" s="1363">
        <v>41050400</v>
      </c>
      <c r="B32" s="1907" t="s">
        <v>1545</v>
      </c>
      <c r="C32" s="1907"/>
      <c r="D32" s="1364"/>
    </row>
    <row r="33" spans="1:4" s="1352" customFormat="1" hidden="1" x14ac:dyDescent="0.25">
      <c r="A33" s="1365" t="s">
        <v>1542</v>
      </c>
      <c r="B33" s="1908" t="s">
        <v>1543</v>
      </c>
      <c r="C33" s="1908"/>
      <c r="D33" s="1366">
        <f>D32</f>
        <v>0</v>
      </c>
    </row>
    <row r="34" spans="1:4" ht="134.4" hidden="1" customHeight="1" x14ac:dyDescent="0.25">
      <c r="A34" s="1363">
        <v>41050500</v>
      </c>
      <c r="B34" s="1907" t="s">
        <v>1546</v>
      </c>
      <c r="C34" s="1907"/>
      <c r="D34" s="1364"/>
    </row>
    <row r="35" spans="1:4" s="1352" customFormat="1" hidden="1" x14ac:dyDescent="0.25">
      <c r="A35" s="1365" t="s">
        <v>1542</v>
      </c>
      <c r="B35" s="1908" t="s">
        <v>1543</v>
      </c>
      <c r="C35" s="1908"/>
      <c r="D35" s="1366">
        <f>D34</f>
        <v>0</v>
      </c>
    </row>
    <row r="36" spans="1:4" ht="184.2" hidden="1" customHeight="1" x14ac:dyDescent="0.25">
      <c r="A36" s="1363">
        <v>41050600</v>
      </c>
      <c r="B36" s="1907" t="s">
        <v>1547</v>
      </c>
      <c r="C36" s="1907"/>
      <c r="D36" s="1364"/>
    </row>
    <row r="37" spans="1:4" s="1352" customFormat="1" hidden="1" x14ac:dyDescent="0.25">
      <c r="A37" s="1365" t="s">
        <v>1542</v>
      </c>
      <c r="B37" s="1908" t="s">
        <v>1543</v>
      </c>
      <c r="C37" s="1908"/>
      <c r="D37" s="1366">
        <f>D36</f>
        <v>0</v>
      </c>
    </row>
    <row r="38" spans="1:4" hidden="1" x14ac:dyDescent="0.25">
      <c r="A38" s="1363">
        <v>41053900</v>
      </c>
      <c r="B38" s="1907" t="s">
        <v>236</v>
      </c>
      <c r="C38" s="1907"/>
      <c r="D38" s="1364"/>
    </row>
    <row r="39" spans="1:4" s="1352" customFormat="1" hidden="1" x14ac:dyDescent="0.25">
      <c r="A39" s="1365" t="s">
        <v>1542</v>
      </c>
      <c r="B39" s="1908" t="s">
        <v>1543</v>
      </c>
      <c r="C39" s="1908"/>
      <c r="D39" s="1366">
        <f>D38</f>
        <v>0</v>
      </c>
    </row>
    <row r="40" spans="1:4" s="1352" customFormat="1" ht="29.4" hidden="1" customHeight="1" x14ac:dyDescent="0.25">
      <c r="A40" s="1365">
        <v>41051000</v>
      </c>
      <c r="B40" s="1908" t="s">
        <v>1548</v>
      </c>
      <c r="C40" s="1908"/>
      <c r="D40" s="1366"/>
    </row>
    <row r="41" spans="1:4" s="1352" customFormat="1" hidden="1" x14ac:dyDescent="0.25">
      <c r="A41" s="1365" t="s">
        <v>1542</v>
      </c>
      <c r="B41" s="1908" t="s">
        <v>1543</v>
      </c>
      <c r="C41" s="1908"/>
      <c r="D41" s="1366">
        <f>D40</f>
        <v>0</v>
      </c>
    </row>
    <row r="42" spans="1:4" s="1352" customFormat="1" ht="29.4" hidden="1" customHeight="1" x14ac:dyDescent="0.25">
      <c r="A42" s="1365">
        <v>41051100</v>
      </c>
      <c r="B42" s="1908" t="s">
        <v>227</v>
      </c>
      <c r="C42" s="1908"/>
      <c r="D42" s="1366"/>
    </row>
    <row r="43" spans="1:4" s="1352" customFormat="1" hidden="1" x14ac:dyDescent="0.25">
      <c r="A43" s="1365" t="s">
        <v>1542</v>
      </c>
      <c r="B43" s="1908" t="s">
        <v>1543</v>
      </c>
      <c r="C43" s="1908"/>
      <c r="D43" s="1366">
        <f>D42</f>
        <v>0</v>
      </c>
    </row>
    <row r="44" spans="1:4" s="1352" customFormat="1" ht="40.5" hidden="1" customHeight="1" x14ac:dyDescent="0.25">
      <c r="A44" s="1365">
        <v>41051200</v>
      </c>
      <c r="B44" s="1908" t="s">
        <v>805</v>
      </c>
      <c r="C44" s="1908"/>
      <c r="D44" s="1366"/>
    </row>
    <row r="45" spans="1:4" s="1352" customFormat="1" hidden="1" x14ac:dyDescent="0.25">
      <c r="A45" s="1365" t="s">
        <v>1542</v>
      </c>
      <c r="B45" s="1908" t="s">
        <v>1543</v>
      </c>
      <c r="C45" s="1908"/>
      <c r="D45" s="1366">
        <f>D44</f>
        <v>0</v>
      </c>
    </row>
    <row r="46" spans="1:4" s="1352" customFormat="1" ht="40.5" hidden="1" customHeight="1" x14ac:dyDescent="0.25">
      <c r="A46" s="1365">
        <v>41051400</v>
      </c>
      <c r="B46" s="1908" t="s">
        <v>806</v>
      </c>
      <c r="C46" s="1908"/>
      <c r="D46" s="1366"/>
    </row>
    <row r="47" spans="1:4" s="1352" customFormat="1" hidden="1" x14ac:dyDescent="0.25">
      <c r="A47" s="1365" t="s">
        <v>1542</v>
      </c>
      <c r="B47" s="1908" t="s">
        <v>1543</v>
      </c>
      <c r="C47" s="1908"/>
      <c r="D47" s="1366">
        <f>D46</f>
        <v>0</v>
      </c>
    </row>
    <row r="48" spans="1:4" s="1352" customFormat="1" ht="43.95" hidden="1" customHeight="1" x14ac:dyDescent="0.25">
      <c r="A48" s="1365">
        <v>41051700</v>
      </c>
      <c r="B48" s="1908" t="s">
        <v>235</v>
      </c>
      <c r="C48" s="1908"/>
      <c r="D48" s="1366"/>
    </row>
    <row r="49" spans="1:4" s="1352" customFormat="1" hidden="1" x14ac:dyDescent="0.25">
      <c r="A49" s="1365" t="s">
        <v>1542</v>
      </c>
      <c r="B49" s="1908" t="s">
        <v>1543</v>
      </c>
      <c r="C49" s="1908"/>
      <c r="D49" s="1366">
        <f>D48</f>
        <v>0</v>
      </c>
    </row>
    <row r="50" spans="1:4" s="1352" customFormat="1" ht="43.95" hidden="1" customHeight="1" x14ac:dyDescent="0.25">
      <c r="A50" s="1365">
        <v>41051400</v>
      </c>
      <c r="B50" s="1908" t="s">
        <v>806</v>
      </c>
      <c r="C50" s="1908"/>
      <c r="D50" s="1366"/>
    </row>
    <row r="51" spans="1:4" s="1352" customFormat="1" hidden="1" x14ac:dyDescent="0.25">
      <c r="A51" s="1365" t="s">
        <v>1542</v>
      </c>
      <c r="B51" s="1908" t="s">
        <v>1543</v>
      </c>
      <c r="C51" s="1908"/>
      <c r="D51" s="1366">
        <f>D50</f>
        <v>0</v>
      </c>
    </row>
    <row r="52" spans="1:4" s="1352" customFormat="1" ht="45.6" hidden="1" customHeight="1" x14ac:dyDescent="0.25">
      <c r="A52" s="1365">
        <v>41057700</v>
      </c>
      <c r="B52" s="1908" t="s">
        <v>1549</v>
      </c>
      <c r="C52" s="1908"/>
      <c r="D52" s="1366"/>
    </row>
    <row r="53" spans="1:4" s="1352" customFormat="1" hidden="1" x14ac:dyDescent="0.25">
      <c r="A53" s="1365" t="s">
        <v>1542</v>
      </c>
      <c r="B53" s="1908" t="s">
        <v>1543</v>
      </c>
      <c r="C53" s="1908"/>
      <c r="D53" s="1366">
        <f>D52</f>
        <v>0</v>
      </c>
    </row>
    <row r="54" spans="1:4" ht="31.5" hidden="1" customHeight="1" x14ac:dyDescent="0.25">
      <c r="A54" s="1367" t="s">
        <v>691</v>
      </c>
      <c r="B54" s="1915" t="s">
        <v>1550</v>
      </c>
      <c r="C54" s="1915"/>
      <c r="D54" s="1368"/>
    </row>
    <row r="55" spans="1:4" ht="11.4" hidden="1" customHeight="1" x14ac:dyDescent="0.25">
      <c r="A55" s="1363"/>
      <c r="B55" s="1907"/>
      <c r="C55" s="1907"/>
      <c r="D55" s="1364"/>
    </row>
    <row r="56" spans="1:4" ht="22.5" customHeight="1" x14ac:dyDescent="0.25">
      <c r="A56" s="1905" t="s">
        <v>1551</v>
      </c>
      <c r="B56" s="1905"/>
      <c r="C56" s="1905"/>
      <c r="D56" s="1905"/>
    </row>
    <row r="57" spans="1:4" ht="29.4" hidden="1" customHeight="1" x14ac:dyDescent="0.25">
      <c r="A57" s="1363">
        <v>41034500</v>
      </c>
      <c r="B57" s="1907" t="s">
        <v>213</v>
      </c>
      <c r="C57" s="1907"/>
      <c r="D57" s="1364"/>
    </row>
    <row r="58" spans="1:4" hidden="1" x14ac:dyDescent="0.25">
      <c r="A58" s="1363">
        <v>99000000000</v>
      </c>
      <c r="B58" s="1907" t="s">
        <v>1539</v>
      </c>
      <c r="C58" s="1907" t="s">
        <v>1540</v>
      </c>
      <c r="D58" s="1364">
        <f>D57</f>
        <v>0</v>
      </c>
    </row>
    <row r="59" spans="1:4" ht="39" hidden="1" customHeight="1" x14ac:dyDescent="0.25">
      <c r="A59" s="1363">
        <v>41031400</v>
      </c>
      <c r="B59" s="1913" t="s">
        <v>687</v>
      </c>
      <c r="C59" s="1914"/>
      <c r="D59" s="1364"/>
    </row>
    <row r="60" spans="1:4" ht="15" hidden="1" customHeight="1" x14ac:dyDescent="0.25">
      <c r="A60" s="1363">
        <v>99000000000</v>
      </c>
      <c r="B60" s="1907" t="s">
        <v>1539</v>
      </c>
      <c r="C60" s="1907" t="s">
        <v>1540</v>
      </c>
      <c r="D60" s="1364">
        <f>D59</f>
        <v>0</v>
      </c>
    </row>
    <row r="61" spans="1:4" hidden="1" x14ac:dyDescent="0.25">
      <c r="A61" s="1365">
        <v>41053600</v>
      </c>
      <c r="B61" s="1908" t="s">
        <v>234</v>
      </c>
      <c r="C61" s="1908"/>
      <c r="D61" s="1369"/>
    </row>
    <row r="62" spans="1:4" hidden="1" x14ac:dyDescent="0.25">
      <c r="A62" s="1365" t="s">
        <v>1542</v>
      </c>
      <c r="B62" s="1908" t="s">
        <v>1543</v>
      </c>
      <c r="C62" s="1908"/>
      <c r="D62" s="1370">
        <f>D61</f>
        <v>0</v>
      </c>
    </row>
    <row r="63" spans="1:4" hidden="1" x14ac:dyDescent="0.25">
      <c r="A63" s="1363">
        <v>41051100</v>
      </c>
      <c r="B63" s="1907" t="s">
        <v>236</v>
      </c>
      <c r="C63" s="1907"/>
      <c r="D63" s="1364"/>
    </row>
    <row r="64" spans="1:4" s="1352" customFormat="1" hidden="1" x14ac:dyDescent="0.25">
      <c r="A64" s="1365" t="s">
        <v>1542</v>
      </c>
      <c r="B64" s="1908" t="s">
        <v>1543</v>
      </c>
      <c r="C64" s="1908"/>
      <c r="D64" s="1366">
        <f>D63</f>
        <v>0</v>
      </c>
    </row>
    <row r="65" spans="1:5" hidden="1" x14ac:dyDescent="0.25">
      <c r="A65" s="1363">
        <v>41053900</v>
      </c>
      <c r="B65" s="1907" t="s">
        <v>236</v>
      </c>
      <c r="C65" s="1907"/>
      <c r="D65" s="1364"/>
    </row>
    <row r="66" spans="1:5" s="1352" customFormat="1" hidden="1" x14ac:dyDescent="0.25">
      <c r="A66" s="1365" t="s">
        <v>1542</v>
      </c>
      <c r="B66" s="1908" t="s">
        <v>1543</v>
      </c>
      <c r="C66" s="1908"/>
      <c r="D66" s="1366">
        <f>D65</f>
        <v>0</v>
      </c>
    </row>
    <row r="67" spans="1:5" hidden="1" x14ac:dyDescent="0.25">
      <c r="A67" s="1361" t="s">
        <v>853</v>
      </c>
      <c r="B67" s="1909" t="s">
        <v>1552</v>
      </c>
      <c r="C67" s="1909"/>
      <c r="D67" s="1371">
        <f>D68+D69</f>
        <v>0</v>
      </c>
    </row>
    <row r="68" spans="1:5" ht="14.4" hidden="1" x14ac:dyDescent="0.25">
      <c r="A68" s="1361" t="s">
        <v>853</v>
      </c>
      <c r="B68" s="1910" t="s">
        <v>1553</v>
      </c>
      <c r="C68" s="1910"/>
      <c r="D68" s="1372">
        <f>D18+D22+D38+D40+D48+D52+D20+D42+D50+D24+D26+D28+D12+D30+D44+D32+D34+D36+D16+D14+D46</f>
        <v>0</v>
      </c>
    </row>
    <row r="69" spans="1:5" ht="14.4" hidden="1" x14ac:dyDescent="0.25">
      <c r="A69" s="1361" t="s">
        <v>853</v>
      </c>
      <c r="B69" s="1910" t="s">
        <v>1554</v>
      </c>
      <c r="C69" s="1910"/>
      <c r="D69" s="1372">
        <f>D61+D57+D65+D59+D63</f>
        <v>0</v>
      </c>
    </row>
    <row r="70" spans="1:5" x14ac:dyDescent="0.25">
      <c r="A70" s="1373"/>
      <c r="B70" s="1374"/>
      <c r="C70" s="1374"/>
      <c r="D70" s="1375"/>
    </row>
    <row r="71" spans="1:5" ht="17.399999999999999" x14ac:dyDescent="0.3">
      <c r="A71" s="1911" t="s">
        <v>1555</v>
      </c>
      <c r="B71" s="1911"/>
      <c r="C71" s="1911"/>
      <c r="D71" s="1912"/>
      <c r="E71" s="1376"/>
    </row>
    <row r="72" spans="1:5" x14ac:dyDescent="0.25">
      <c r="A72" s="1373"/>
      <c r="B72" s="1374"/>
      <c r="C72" s="1376"/>
      <c r="D72" s="1377" t="s">
        <v>830</v>
      </c>
      <c r="E72" s="1376"/>
    </row>
    <row r="73" spans="1:5" ht="114" customHeight="1" x14ac:dyDescent="0.25">
      <c r="A73" s="1150" t="s">
        <v>1556</v>
      </c>
      <c r="B73" s="1150" t="s">
        <v>867</v>
      </c>
      <c r="C73" s="1150" t="s">
        <v>1557</v>
      </c>
      <c r="D73" s="1150" t="s">
        <v>695</v>
      </c>
    </row>
    <row r="74" spans="1:5" x14ac:dyDescent="0.25">
      <c r="A74" s="1361">
        <v>1</v>
      </c>
      <c r="B74" s="1378">
        <v>2</v>
      </c>
      <c r="C74" s="1379">
        <v>3</v>
      </c>
      <c r="D74" s="1362">
        <v>4</v>
      </c>
    </row>
    <row r="75" spans="1:5" x14ac:dyDescent="0.25">
      <c r="A75" s="1903" t="s">
        <v>1558</v>
      </c>
      <c r="B75" s="1903"/>
      <c r="C75" s="1903"/>
      <c r="D75" s="1903"/>
    </row>
    <row r="76" spans="1:5" hidden="1" x14ac:dyDescent="0.25">
      <c r="A76" s="1380" t="s">
        <v>1055</v>
      </c>
      <c r="B76" s="1363">
        <v>9770</v>
      </c>
      <c r="C76" s="1211" t="s">
        <v>236</v>
      </c>
      <c r="D76" s="1381"/>
    </row>
    <row r="77" spans="1:5" hidden="1" x14ac:dyDescent="0.25">
      <c r="A77" s="1365" t="s">
        <v>1542</v>
      </c>
      <c r="B77" s="1904" t="s">
        <v>1543</v>
      </c>
      <c r="C77" s="1904"/>
      <c r="D77" s="1381">
        <f>D76</f>
        <v>0</v>
      </c>
    </row>
    <row r="78" spans="1:5" x14ac:dyDescent="0.25">
      <c r="A78" s="1363">
        <v>3719110</v>
      </c>
      <c r="B78" s="1363">
        <v>9110</v>
      </c>
      <c r="C78" s="1211" t="s">
        <v>556</v>
      </c>
      <c r="D78" s="1382">
        <f>дод.3!E510</f>
        <v>277243300</v>
      </c>
    </row>
    <row r="79" spans="1:5" x14ac:dyDescent="0.25">
      <c r="A79" s="1363">
        <v>99000000000</v>
      </c>
      <c r="B79" s="1363"/>
      <c r="C79" s="1383" t="s">
        <v>1539</v>
      </c>
      <c r="D79" s="1381">
        <f>D78</f>
        <v>277243300</v>
      </c>
    </row>
    <row r="80" spans="1:5" hidden="1" x14ac:dyDescent="0.25">
      <c r="A80" s="1380" t="s">
        <v>1055</v>
      </c>
      <c r="B80" s="1363">
        <v>9770</v>
      </c>
      <c r="C80" s="1211" t="s">
        <v>236</v>
      </c>
      <c r="D80" s="1382"/>
    </row>
    <row r="81" spans="1:4" ht="13.95" hidden="1" customHeight="1" x14ac:dyDescent="0.25">
      <c r="A81" s="1365" t="s">
        <v>1542</v>
      </c>
      <c r="B81" s="1384"/>
      <c r="C81" s="1385" t="s">
        <v>1543</v>
      </c>
      <c r="D81" s="1381">
        <f>D80</f>
        <v>0</v>
      </c>
    </row>
    <row r="82" spans="1:4" x14ac:dyDescent="0.25">
      <c r="A82" s="1363">
        <v>2919770</v>
      </c>
      <c r="B82" s="1363">
        <v>9770</v>
      </c>
      <c r="C82" s="1211" t="s">
        <v>236</v>
      </c>
      <c r="D82" s="1382">
        <f>дод.3!E475</f>
        <v>23787790</v>
      </c>
    </row>
    <row r="83" spans="1:4" x14ac:dyDescent="0.25">
      <c r="A83" s="1365" t="s">
        <v>1542</v>
      </c>
      <c r="B83" s="1363"/>
      <c r="C83" s="1385" t="s">
        <v>1559</v>
      </c>
      <c r="D83" s="1381">
        <f>D82</f>
        <v>23787790</v>
      </c>
    </row>
    <row r="84" spans="1:4" ht="27.6" x14ac:dyDescent="0.25">
      <c r="A84" s="1363">
        <v>2919800</v>
      </c>
      <c r="B84" s="1363">
        <v>9800</v>
      </c>
      <c r="C84" s="1211" t="s">
        <v>1300</v>
      </c>
      <c r="D84" s="1382">
        <f>дод.3!E478</f>
        <v>276212210</v>
      </c>
    </row>
    <row r="85" spans="1:4" x14ac:dyDescent="0.25">
      <c r="A85" s="1363">
        <v>99000000000</v>
      </c>
      <c r="B85" s="1363"/>
      <c r="C85" s="1383" t="s">
        <v>1539</v>
      </c>
      <c r="D85" s="1381">
        <f>D84</f>
        <v>276212210</v>
      </c>
    </row>
    <row r="86" spans="1:4" hidden="1" x14ac:dyDescent="0.25">
      <c r="A86" s="1380" t="s">
        <v>1055</v>
      </c>
      <c r="B86" s="1363">
        <v>9770</v>
      </c>
      <c r="C86" s="1211" t="s">
        <v>236</v>
      </c>
      <c r="D86" s="1382"/>
    </row>
    <row r="87" spans="1:4" ht="13.95" hidden="1" customHeight="1" x14ac:dyDescent="0.25">
      <c r="A87" s="1365" t="s">
        <v>1542</v>
      </c>
      <c r="B87" s="1384"/>
      <c r="C87" s="1385" t="s">
        <v>1543</v>
      </c>
      <c r="D87" s="1381">
        <f>D86</f>
        <v>0</v>
      </c>
    </row>
    <row r="88" spans="1:4" x14ac:dyDescent="0.25">
      <c r="A88" s="1905" t="s">
        <v>1560</v>
      </c>
      <c r="B88" s="1905"/>
      <c r="C88" s="1905"/>
      <c r="D88" s="1905"/>
    </row>
    <row r="89" spans="1:4" ht="13.95" hidden="1" customHeight="1" x14ac:dyDescent="0.25">
      <c r="A89" s="1380" t="s">
        <v>1055</v>
      </c>
      <c r="B89" s="1363">
        <v>9770</v>
      </c>
      <c r="C89" s="1211" t="s">
        <v>236</v>
      </c>
      <c r="D89" s="1382"/>
    </row>
    <row r="90" spans="1:4" ht="13.95" hidden="1" customHeight="1" x14ac:dyDescent="0.25">
      <c r="A90" s="1365" t="s">
        <v>1542</v>
      </c>
      <c r="B90" s="1384"/>
      <c r="C90" s="1385" t="s">
        <v>1543</v>
      </c>
      <c r="D90" s="1381">
        <f>D89</f>
        <v>0</v>
      </c>
    </row>
    <row r="91" spans="1:4" ht="13.95" hidden="1" customHeight="1" x14ac:dyDescent="0.25">
      <c r="A91" s="1380" t="s">
        <v>1111</v>
      </c>
      <c r="B91" s="1363">
        <v>9770</v>
      </c>
      <c r="C91" s="1211" t="s">
        <v>236</v>
      </c>
      <c r="D91" s="1382">
        <f>дод.3!M196</f>
        <v>0</v>
      </c>
    </row>
    <row r="92" spans="1:4" ht="13.95" hidden="1" customHeight="1" x14ac:dyDescent="0.25">
      <c r="A92" s="1365" t="s">
        <v>1542</v>
      </c>
      <c r="B92" s="1384"/>
      <c r="C92" s="1385" t="s">
        <v>1543</v>
      </c>
      <c r="D92" s="1381">
        <f>D91</f>
        <v>0</v>
      </c>
    </row>
    <row r="93" spans="1:4" ht="27.6" hidden="1" customHeight="1" x14ac:dyDescent="0.25">
      <c r="A93" s="1363">
        <v>1219800</v>
      </c>
      <c r="B93" s="1363">
        <v>9800</v>
      </c>
      <c r="C93" s="1211" t="s">
        <v>1300</v>
      </c>
      <c r="D93" s="1381"/>
    </row>
    <row r="94" spans="1:4" ht="13.95" hidden="1" customHeight="1" x14ac:dyDescent="0.25">
      <c r="A94" s="1363">
        <v>99000000000</v>
      </c>
      <c r="B94" s="1385"/>
      <c r="C94" s="1383" t="s">
        <v>1539</v>
      </c>
      <c r="D94" s="1381">
        <f>D93</f>
        <v>0</v>
      </c>
    </row>
    <row r="95" spans="1:4" ht="13.95" hidden="1" customHeight="1" x14ac:dyDescent="0.25">
      <c r="A95" s="1380" t="s">
        <v>1441</v>
      </c>
      <c r="B95" s="1363">
        <v>9770</v>
      </c>
      <c r="C95" s="1211" t="s">
        <v>236</v>
      </c>
      <c r="D95" s="1382">
        <f>дод.3!M473</f>
        <v>0</v>
      </c>
    </row>
    <row r="96" spans="1:4" ht="13.95" hidden="1" customHeight="1" x14ac:dyDescent="0.25">
      <c r="A96" s="1365" t="s">
        <v>1542</v>
      </c>
      <c r="B96" s="1384"/>
      <c r="C96" s="1385" t="s">
        <v>1543</v>
      </c>
      <c r="D96" s="1381">
        <f>D95</f>
        <v>0</v>
      </c>
    </row>
    <row r="97" spans="1:53" ht="27.6" hidden="1" x14ac:dyDescent="0.25">
      <c r="A97" s="1363">
        <v>2919800</v>
      </c>
      <c r="B97" s="1363">
        <v>9800</v>
      </c>
      <c r="C97" s="1211" t="s">
        <v>1300</v>
      </c>
      <c r="D97" s="1381">
        <f>дод.3!M478</f>
        <v>0</v>
      </c>
    </row>
    <row r="98" spans="1:53" ht="13.95" hidden="1" customHeight="1" x14ac:dyDescent="0.25">
      <c r="A98" s="1363">
        <v>99000000000</v>
      </c>
      <c r="B98" s="1385"/>
      <c r="C98" s="1383" t="s">
        <v>1539</v>
      </c>
      <c r="D98" s="1381">
        <f>D97</f>
        <v>0</v>
      </c>
    </row>
    <row r="99" spans="1:53" ht="101.4" hidden="1" customHeight="1" x14ac:dyDescent="0.25">
      <c r="A99" s="1363">
        <v>2919820</v>
      </c>
      <c r="B99" s="1363">
        <v>9820</v>
      </c>
      <c r="C99" s="1211" t="s">
        <v>564</v>
      </c>
      <c r="D99" s="1382"/>
    </row>
    <row r="100" spans="1:53" ht="13.95" hidden="1" customHeight="1" x14ac:dyDescent="0.25">
      <c r="A100" s="1363">
        <v>99000000000</v>
      </c>
      <c r="B100" s="1363"/>
      <c r="C100" s="1383" t="s">
        <v>1539</v>
      </c>
      <c r="D100" s="1381">
        <f>D99</f>
        <v>0</v>
      </c>
    </row>
    <row r="101" spans="1:53" s="1389" customFormat="1" ht="22.5" customHeight="1" x14ac:dyDescent="0.3">
      <c r="A101" s="1386" t="s">
        <v>853</v>
      </c>
      <c r="B101" s="1387" t="s">
        <v>853</v>
      </c>
      <c r="C101" s="1388" t="s">
        <v>1561</v>
      </c>
      <c r="D101" s="1372">
        <f>D102+D103</f>
        <v>577243300</v>
      </c>
      <c r="F101" s="1390"/>
    </row>
    <row r="102" spans="1:53" s="1389" customFormat="1" ht="14.4" x14ac:dyDescent="0.3">
      <c r="A102" s="1361" t="s">
        <v>853</v>
      </c>
      <c r="B102" s="1378" t="s">
        <v>853</v>
      </c>
      <c r="C102" s="1391" t="s">
        <v>1553</v>
      </c>
      <c r="D102" s="1372">
        <f>D78+D82+D76+D80+D86+D84</f>
        <v>577243300</v>
      </c>
      <c r="E102" s="1392"/>
      <c r="F102" s="1390"/>
    </row>
    <row r="103" spans="1:53" ht="14.4" x14ac:dyDescent="0.3">
      <c r="A103" s="1361" t="s">
        <v>853</v>
      </c>
      <c r="B103" s="1378" t="s">
        <v>853</v>
      </c>
      <c r="C103" s="1391" t="s">
        <v>1554</v>
      </c>
      <c r="D103" s="1372">
        <f>D93+D99+D89+D95+D91+D97</f>
        <v>0</v>
      </c>
    </row>
    <row r="104" spans="1:53" x14ac:dyDescent="0.25">
      <c r="A104" s="1373"/>
      <c r="B104" s="1374"/>
      <c r="C104" s="1376"/>
      <c r="D104" s="1377"/>
    </row>
    <row r="105" spans="1:53" x14ac:dyDescent="0.25">
      <c r="A105" s="1906" t="s">
        <v>681</v>
      </c>
      <c r="B105" s="1906"/>
      <c r="C105" s="1906"/>
      <c r="D105" s="1377"/>
    </row>
    <row r="106" spans="1:53" s="1395" customFormat="1" ht="16.8" x14ac:dyDescent="0.3">
      <c r="A106" s="1906"/>
      <c r="B106" s="1906"/>
      <c r="C106" s="1906"/>
      <c r="D106" s="1393" t="s">
        <v>682</v>
      </c>
      <c r="E106" s="1394"/>
      <c r="F106" s="1394"/>
      <c r="L106" s="1396"/>
      <c r="M106" s="1394"/>
      <c r="N106" s="1394"/>
      <c r="P106" s="1394"/>
      <c r="Q106" s="1394"/>
      <c r="R106" s="1394"/>
      <c r="S106" s="1394"/>
      <c r="T106" s="1394"/>
      <c r="U106" s="1394"/>
      <c r="V106" s="1394"/>
      <c r="W106" s="1394"/>
      <c r="X106" s="1394"/>
      <c r="Y106" s="1394"/>
      <c r="Z106" s="1394"/>
      <c r="AA106" s="1394"/>
      <c r="AB106" s="1394"/>
      <c r="AC106" s="1394"/>
      <c r="AD106" s="1394"/>
      <c r="AE106" s="1394"/>
      <c r="AF106" s="1394"/>
      <c r="AG106" s="1396"/>
      <c r="AH106" s="1396"/>
      <c r="AI106" s="1396"/>
      <c r="AJ106" s="1396"/>
      <c r="AK106" s="1396"/>
      <c r="AL106" s="1396"/>
      <c r="AM106" s="1396"/>
      <c r="AN106" s="1396"/>
      <c r="AO106" s="1396"/>
      <c r="AP106" s="1396"/>
      <c r="AQ106" s="1396"/>
      <c r="AR106" s="1396"/>
      <c r="AS106" s="1396"/>
      <c r="AT106" s="1396"/>
      <c r="AU106" s="1396"/>
      <c r="AV106" s="1396"/>
      <c r="AW106" s="1396"/>
      <c r="AX106" s="1396"/>
      <c r="AY106" s="1396"/>
      <c r="AZ106" s="1396"/>
      <c r="BA106" s="1396"/>
    </row>
    <row r="108" spans="1:53" x14ac:dyDescent="0.25">
      <c r="D108" s="1358">
        <f>D101-дод.3!V142-дод.3!V196-дод.3!V344-дод.3!V346-дод.3!V478-дод.3!V510-дод.3!M473-дод.3!M489-дод.3!E473</f>
        <v>0</v>
      </c>
    </row>
  </sheetData>
  <mergeCells count="70">
    <mergeCell ref="B16:C16"/>
    <mergeCell ref="A3:D3"/>
    <mergeCell ref="A4:D4"/>
    <mergeCell ref="A5:D5"/>
    <mergeCell ref="A7:D7"/>
    <mergeCell ref="B9:C9"/>
    <mergeCell ref="B10:C10"/>
    <mergeCell ref="A11:D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A56:D56"/>
    <mergeCell ref="B57:C57"/>
    <mergeCell ref="B58:C58"/>
    <mergeCell ref="B59:C59"/>
    <mergeCell ref="B60:C60"/>
    <mergeCell ref="B61:C61"/>
    <mergeCell ref="B62:C62"/>
    <mergeCell ref="B63:C63"/>
    <mergeCell ref="A75:D75"/>
    <mergeCell ref="B77:C77"/>
    <mergeCell ref="A88:D88"/>
    <mergeCell ref="A105:C106"/>
    <mergeCell ref="B65:C65"/>
    <mergeCell ref="B66:C66"/>
    <mergeCell ref="B67:C67"/>
    <mergeCell ref="B68:C68"/>
    <mergeCell ref="B69:C69"/>
    <mergeCell ref="A71:D71"/>
  </mergeCells>
  <pageMargins left="0.70866141732283472" right="0.31496062992125984" top="0.17" bottom="0.32" header="0.23622047244094491" footer="0.23622047244094491"/>
  <pageSetup paperSize="9" scale="75"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70" zoomScaleNormal="70" zoomScaleSheetLayoutView="70" workbookViewId="0">
      <pane ySplit="6" topLeftCell="A7" activePane="bottomLeft" state="frozen"/>
      <selection activeCell="F69" sqref="F69"/>
      <selection pane="bottomLeft" activeCell="F69" sqref="F69"/>
    </sheetView>
  </sheetViews>
  <sheetFormatPr defaultColWidth="7" defaultRowHeight="13.2" x14ac:dyDescent="0.25"/>
  <cols>
    <col min="1" max="1" width="14.33203125" style="1446" customWidth="1"/>
    <col min="2" max="2" width="16.88671875" style="1074" customWidth="1"/>
    <col min="3" max="3" width="19.44140625" style="1447" customWidth="1"/>
    <col min="4" max="4" width="44.77734375" style="1124" customWidth="1"/>
    <col min="5" max="5" width="75.77734375" style="1448" customWidth="1"/>
    <col min="6" max="8" width="21.109375" style="1074" customWidth="1"/>
    <col min="9" max="9" width="25.109375" style="1408" customWidth="1"/>
    <col min="10" max="10" width="26.109375" style="1408" customWidth="1"/>
    <col min="11" max="256" width="7" style="1123"/>
    <col min="257" max="257" width="14.33203125" style="1123" customWidth="1"/>
    <col min="258" max="258" width="16.88671875" style="1123" customWidth="1"/>
    <col min="259" max="259" width="19.44140625" style="1123" customWidth="1"/>
    <col min="260" max="260" width="44.77734375" style="1123" customWidth="1"/>
    <col min="261" max="261" width="75.77734375" style="1123" customWidth="1"/>
    <col min="262" max="264" width="21.109375" style="1123" customWidth="1"/>
    <col min="265" max="265" width="25.109375" style="1123" customWidth="1"/>
    <col min="266" max="266" width="26.109375" style="1123" customWidth="1"/>
    <col min="267" max="512" width="7" style="1123"/>
    <col min="513" max="513" width="14.33203125" style="1123" customWidth="1"/>
    <col min="514" max="514" width="16.88671875" style="1123" customWidth="1"/>
    <col min="515" max="515" width="19.44140625" style="1123" customWidth="1"/>
    <col min="516" max="516" width="44.77734375" style="1123" customWidth="1"/>
    <col min="517" max="517" width="75.77734375" style="1123" customWidth="1"/>
    <col min="518" max="520" width="21.109375" style="1123" customWidth="1"/>
    <col min="521" max="521" width="25.109375" style="1123" customWidth="1"/>
    <col min="522" max="522" width="26.109375" style="1123" customWidth="1"/>
    <col min="523" max="768" width="7" style="1123"/>
    <col min="769" max="769" width="14.33203125" style="1123" customWidth="1"/>
    <col min="770" max="770" width="16.88671875" style="1123" customWidth="1"/>
    <col min="771" max="771" width="19.44140625" style="1123" customWidth="1"/>
    <col min="772" max="772" width="44.77734375" style="1123" customWidth="1"/>
    <col min="773" max="773" width="75.77734375" style="1123" customWidth="1"/>
    <col min="774" max="776" width="21.109375" style="1123" customWidth="1"/>
    <col min="777" max="777" width="25.109375" style="1123" customWidth="1"/>
    <col min="778" max="778" width="26.109375" style="1123" customWidth="1"/>
    <col min="779" max="1024" width="7" style="1123"/>
    <col min="1025" max="1025" width="14.33203125" style="1123" customWidth="1"/>
    <col min="1026" max="1026" width="16.88671875" style="1123" customWidth="1"/>
    <col min="1027" max="1027" width="19.44140625" style="1123" customWidth="1"/>
    <col min="1028" max="1028" width="44.77734375" style="1123" customWidth="1"/>
    <col min="1029" max="1029" width="75.77734375" style="1123" customWidth="1"/>
    <col min="1030" max="1032" width="21.109375" style="1123" customWidth="1"/>
    <col min="1033" max="1033" width="25.109375" style="1123" customWidth="1"/>
    <col min="1034" max="1034" width="26.109375" style="1123" customWidth="1"/>
    <col min="1035" max="1280" width="7" style="1123"/>
    <col min="1281" max="1281" width="14.33203125" style="1123" customWidth="1"/>
    <col min="1282" max="1282" width="16.88671875" style="1123" customWidth="1"/>
    <col min="1283" max="1283" width="19.44140625" style="1123" customWidth="1"/>
    <col min="1284" max="1284" width="44.77734375" style="1123" customWidth="1"/>
    <col min="1285" max="1285" width="75.77734375" style="1123" customWidth="1"/>
    <col min="1286" max="1288" width="21.109375" style="1123" customWidth="1"/>
    <col min="1289" max="1289" width="25.109375" style="1123" customWidth="1"/>
    <col min="1290" max="1290" width="26.109375" style="1123" customWidth="1"/>
    <col min="1291" max="1536" width="7" style="1123"/>
    <col min="1537" max="1537" width="14.33203125" style="1123" customWidth="1"/>
    <col min="1538" max="1538" width="16.88671875" style="1123" customWidth="1"/>
    <col min="1539" max="1539" width="19.44140625" style="1123" customWidth="1"/>
    <col min="1540" max="1540" width="44.77734375" style="1123" customWidth="1"/>
    <col min="1541" max="1541" width="75.77734375" style="1123" customWidth="1"/>
    <col min="1542" max="1544" width="21.109375" style="1123" customWidth="1"/>
    <col min="1545" max="1545" width="25.109375" style="1123" customWidth="1"/>
    <col min="1546" max="1546" width="26.109375" style="1123" customWidth="1"/>
    <col min="1547" max="1792" width="7" style="1123"/>
    <col min="1793" max="1793" width="14.33203125" style="1123" customWidth="1"/>
    <col min="1794" max="1794" width="16.88671875" style="1123" customWidth="1"/>
    <col min="1795" max="1795" width="19.44140625" style="1123" customWidth="1"/>
    <col min="1796" max="1796" width="44.77734375" style="1123" customWidth="1"/>
    <col min="1797" max="1797" width="75.77734375" style="1123" customWidth="1"/>
    <col min="1798" max="1800" width="21.109375" style="1123" customWidth="1"/>
    <col min="1801" max="1801" width="25.109375" style="1123" customWidth="1"/>
    <col min="1802" max="1802" width="26.109375" style="1123" customWidth="1"/>
    <col min="1803" max="2048" width="7" style="1123"/>
    <col min="2049" max="2049" width="14.33203125" style="1123" customWidth="1"/>
    <col min="2050" max="2050" width="16.88671875" style="1123" customWidth="1"/>
    <col min="2051" max="2051" width="19.44140625" style="1123" customWidth="1"/>
    <col min="2052" max="2052" width="44.77734375" style="1123" customWidth="1"/>
    <col min="2053" max="2053" width="75.77734375" style="1123" customWidth="1"/>
    <col min="2054" max="2056" width="21.109375" style="1123" customWidth="1"/>
    <col min="2057" max="2057" width="25.109375" style="1123" customWidth="1"/>
    <col min="2058" max="2058" width="26.109375" style="1123" customWidth="1"/>
    <col min="2059" max="2304" width="7" style="1123"/>
    <col min="2305" max="2305" width="14.33203125" style="1123" customWidth="1"/>
    <col min="2306" max="2306" width="16.88671875" style="1123" customWidth="1"/>
    <col min="2307" max="2307" width="19.44140625" style="1123" customWidth="1"/>
    <col min="2308" max="2308" width="44.77734375" style="1123" customWidth="1"/>
    <col min="2309" max="2309" width="75.77734375" style="1123" customWidth="1"/>
    <col min="2310" max="2312" width="21.109375" style="1123" customWidth="1"/>
    <col min="2313" max="2313" width="25.109375" style="1123" customWidth="1"/>
    <col min="2314" max="2314" width="26.109375" style="1123" customWidth="1"/>
    <col min="2315" max="2560" width="7" style="1123"/>
    <col min="2561" max="2561" width="14.33203125" style="1123" customWidth="1"/>
    <col min="2562" max="2562" width="16.88671875" style="1123" customWidth="1"/>
    <col min="2563" max="2563" width="19.44140625" style="1123" customWidth="1"/>
    <col min="2564" max="2564" width="44.77734375" style="1123" customWidth="1"/>
    <col min="2565" max="2565" width="75.77734375" style="1123" customWidth="1"/>
    <col min="2566" max="2568" width="21.109375" style="1123" customWidth="1"/>
    <col min="2569" max="2569" width="25.109375" style="1123" customWidth="1"/>
    <col min="2570" max="2570" width="26.109375" style="1123" customWidth="1"/>
    <col min="2571" max="2816" width="7" style="1123"/>
    <col min="2817" max="2817" width="14.33203125" style="1123" customWidth="1"/>
    <col min="2818" max="2818" width="16.88671875" style="1123" customWidth="1"/>
    <col min="2819" max="2819" width="19.44140625" style="1123" customWidth="1"/>
    <col min="2820" max="2820" width="44.77734375" style="1123" customWidth="1"/>
    <col min="2821" max="2821" width="75.77734375" style="1123" customWidth="1"/>
    <col min="2822" max="2824" width="21.109375" style="1123" customWidth="1"/>
    <col min="2825" max="2825" width="25.109375" style="1123" customWidth="1"/>
    <col min="2826" max="2826" width="26.109375" style="1123" customWidth="1"/>
    <col min="2827" max="3072" width="7" style="1123"/>
    <col min="3073" max="3073" width="14.33203125" style="1123" customWidth="1"/>
    <col min="3074" max="3074" width="16.88671875" style="1123" customWidth="1"/>
    <col min="3075" max="3075" width="19.44140625" style="1123" customWidth="1"/>
    <col min="3076" max="3076" width="44.77734375" style="1123" customWidth="1"/>
    <col min="3077" max="3077" width="75.77734375" style="1123" customWidth="1"/>
    <col min="3078" max="3080" width="21.109375" style="1123" customWidth="1"/>
    <col min="3081" max="3081" width="25.109375" style="1123" customWidth="1"/>
    <col min="3082" max="3082" width="26.109375" style="1123" customWidth="1"/>
    <col min="3083" max="3328" width="7" style="1123"/>
    <col min="3329" max="3329" width="14.33203125" style="1123" customWidth="1"/>
    <col min="3330" max="3330" width="16.88671875" style="1123" customWidth="1"/>
    <col min="3331" max="3331" width="19.44140625" style="1123" customWidth="1"/>
    <col min="3332" max="3332" width="44.77734375" style="1123" customWidth="1"/>
    <col min="3333" max="3333" width="75.77734375" style="1123" customWidth="1"/>
    <col min="3334" max="3336" width="21.109375" style="1123" customWidth="1"/>
    <col min="3337" max="3337" width="25.109375" style="1123" customWidth="1"/>
    <col min="3338" max="3338" width="26.109375" style="1123" customWidth="1"/>
    <col min="3339" max="3584" width="7" style="1123"/>
    <col min="3585" max="3585" width="14.33203125" style="1123" customWidth="1"/>
    <col min="3586" max="3586" width="16.88671875" style="1123" customWidth="1"/>
    <col min="3587" max="3587" width="19.44140625" style="1123" customWidth="1"/>
    <col min="3588" max="3588" width="44.77734375" style="1123" customWidth="1"/>
    <col min="3589" max="3589" width="75.77734375" style="1123" customWidth="1"/>
    <col min="3590" max="3592" width="21.109375" style="1123" customWidth="1"/>
    <col min="3593" max="3593" width="25.109375" style="1123" customWidth="1"/>
    <col min="3594" max="3594" width="26.109375" style="1123" customWidth="1"/>
    <col min="3595" max="3840" width="7" style="1123"/>
    <col min="3841" max="3841" width="14.33203125" style="1123" customWidth="1"/>
    <col min="3842" max="3842" width="16.88671875" style="1123" customWidth="1"/>
    <col min="3843" max="3843" width="19.44140625" style="1123" customWidth="1"/>
    <col min="3844" max="3844" width="44.77734375" style="1123" customWidth="1"/>
    <col min="3845" max="3845" width="75.77734375" style="1123" customWidth="1"/>
    <col min="3846" max="3848" width="21.109375" style="1123" customWidth="1"/>
    <col min="3849" max="3849" width="25.109375" style="1123" customWidth="1"/>
    <col min="3850" max="3850" width="26.109375" style="1123" customWidth="1"/>
    <col min="3851" max="4096" width="7" style="1123"/>
    <col min="4097" max="4097" width="14.33203125" style="1123" customWidth="1"/>
    <col min="4098" max="4098" width="16.88671875" style="1123" customWidth="1"/>
    <col min="4099" max="4099" width="19.44140625" style="1123" customWidth="1"/>
    <col min="4100" max="4100" width="44.77734375" style="1123" customWidth="1"/>
    <col min="4101" max="4101" width="75.77734375" style="1123" customWidth="1"/>
    <col min="4102" max="4104" width="21.109375" style="1123" customWidth="1"/>
    <col min="4105" max="4105" width="25.109375" style="1123" customWidth="1"/>
    <col min="4106" max="4106" width="26.109375" style="1123" customWidth="1"/>
    <col min="4107" max="4352" width="7" style="1123"/>
    <col min="4353" max="4353" width="14.33203125" style="1123" customWidth="1"/>
    <col min="4354" max="4354" width="16.88671875" style="1123" customWidth="1"/>
    <col min="4355" max="4355" width="19.44140625" style="1123" customWidth="1"/>
    <col min="4356" max="4356" width="44.77734375" style="1123" customWidth="1"/>
    <col min="4357" max="4357" width="75.77734375" style="1123" customWidth="1"/>
    <col min="4358" max="4360" width="21.109375" style="1123" customWidth="1"/>
    <col min="4361" max="4361" width="25.109375" style="1123" customWidth="1"/>
    <col min="4362" max="4362" width="26.109375" style="1123" customWidth="1"/>
    <col min="4363" max="4608" width="7" style="1123"/>
    <col min="4609" max="4609" width="14.33203125" style="1123" customWidth="1"/>
    <col min="4610" max="4610" width="16.88671875" style="1123" customWidth="1"/>
    <col min="4611" max="4611" width="19.44140625" style="1123" customWidth="1"/>
    <col min="4612" max="4612" width="44.77734375" style="1123" customWidth="1"/>
    <col min="4613" max="4613" width="75.77734375" style="1123" customWidth="1"/>
    <col min="4614" max="4616" width="21.109375" style="1123" customWidth="1"/>
    <col min="4617" max="4617" width="25.109375" style="1123" customWidth="1"/>
    <col min="4618" max="4618" width="26.109375" style="1123" customWidth="1"/>
    <col min="4619" max="4864" width="7" style="1123"/>
    <col min="4865" max="4865" width="14.33203125" style="1123" customWidth="1"/>
    <col min="4866" max="4866" width="16.88671875" style="1123" customWidth="1"/>
    <col min="4867" max="4867" width="19.44140625" style="1123" customWidth="1"/>
    <col min="4868" max="4868" width="44.77734375" style="1123" customWidth="1"/>
    <col min="4869" max="4869" width="75.77734375" style="1123" customWidth="1"/>
    <col min="4870" max="4872" width="21.109375" style="1123" customWidth="1"/>
    <col min="4873" max="4873" width="25.109375" style="1123" customWidth="1"/>
    <col min="4874" max="4874" width="26.109375" style="1123" customWidth="1"/>
    <col min="4875" max="5120" width="7" style="1123"/>
    <col min="5121" max="5121" width="14.33203125" style="1123" customWidth="1"/>
    <col min="5122" max="5122" width="16.88671875" style="1123" customWidth="1"/>
    <col min="5123" max="5123" width="19.44140625" style="1123" customWidth="1"/>
    <col min="5124" max="5124" width="44.77734375" style="1123" customWidth="1"/>
    <col min="5125" max="5125" width="75.77734375" style="1123" customWidth="1"/>
    <col min="5126" max="5128" width="21.109375" style="1123" customWidth="1"/>
    <col min="5129" max="5129" width="25.109375" style="1123" customWidth="1"/>
    <col min="5130" max="5130" width="26.109375" style="1123" customWidth="1"/>
    <col min="5131" max="5376" width="7" style="1123"/>
    <col min="5377" max="5377" width="14.33203125" style="1123" customWidth="1"/>
    <col min="5378" max="5378" width="16.88671875" style="1123" customWidth="1"/>
    <col min="5379" max="5379" width="19.44140625" style="1123" customWidth="1"/>
    <col min="5380" max="5380" width="44.77734375" style="1123" customWidth="1"/>
    <col min="5381" max="5381" width="75.77734375" style="1123" customWidth="1"/>
    <col min="5382" max="5384" width="21.109375" style="1123" customWidth="1"/>
    <col min="5385" max="5385" width="25.109375" style="1123" customWidth="1"/>
    <col min="5386" max="5386" width="26.109375" style="1123" customWidth="1"/>
    <col min="5387" max="5632" width="7" style="1123"/>
    <col min="5633" max="5633" width="14.33203125" style="1123" customWidth="1"/>
    <col min="5634" max="5634" width="16.88671875" style="1123" customWidth="1"/>
    <col min="5635" max="5635" width="19.44140625" style="1123" customWidth="1"/>
    <col min="5636" max="5636" width="44.77734375" style="1123" customWidth="1"/>
    <col min="5637" max="5637" width="75.77734375" style="1123" customWidth="1"/>
    <col min="5638" max="5640" width="21.109375" style="1123" customWidth="1"/>
    <col min="5641" max="5641" width="25.109375" style="1123" customWidth="1"/>
    <col min="5642" max="5642" width="26.109375" style="1123" customWidth="1"/>
    <col min="5643" max="5888" width="7" style="1123"/>
    <col min="5889" max="5889" width="14.33203125" style="1123" customWidth="1"/>
    <col min="5890" max="5890" width="16.88671875" style="1123" customWidth="1"/>
    <col min="5891" max="5891" width="19.44140625" style="1123" customWidth="1"/>
    <col min="5892" max="5892" width="44.77734375" style="1123" customWidth="1"/>
    <col min="5893" max="5893" width="75.77734375" style="1123" customWidth="1"/>
    <col min="5894" max="5896" width="21.109375" style="1123" customWidth="1"/>
    <col min="5897" max="5897" width="25.109375" style="1123" customWidth="1"/>
    <col min="5898" max="5898" width="26.109375" style="1123" customWidth="1"/>
    <col min="5899" max="6144" width="7" style="1123"/>
    <col min="6145" max="6145" width="14.33203125" style="1123" customWidth="1"/>
    <col min="6146" max="6146" width="16.88671875" style="1123" customWidth="1"/>
    <col min="6147" max="6147" width="19.44140625" style="1123" customWidth="1"/>
    <col min="6148" max="6148" width="44.77734375" style="1123" customWidth="1"/>
    <col min="6149" max="6149" width="75.77734375" style="1123" customWidth="1"/>
    <col min="6150" max="6152" width="21.109375" style="1123" customWidth="1"/>
    <col min="6153" max="6153" width="25.109375" style="1123" customWidth="1"/>
    <col min="6154" max="6154" width="26.109375" style="1123" customWidth="1"/>
    <col min="6155" max="6400" width="7" style="1123"/>
    <col min="6401" max="6401" width="14.33203125" style="1123" customWidth="1"/>
    <col min="6402" max="6402" width="16.88671875" style="1123" customWidth="1"/>
    <col min="6403" max="6403" width="19.44140625" style="1123" customWidth="1"/>
    <col min="6404" max="6404" width="44.77734375" style="1123" customWidth="1"/>
    <col min="6405" max="6405" width="75.77734375" style="1123" customWidth="1"/>
    <col min="6406" max="6408" width="21.109375" style="1123" customWidth="1"/>
    <col min="6409" max="6409" width="25.109375" style="1123" customWidth="1"/>
    <col min="6410" max="6410" width="26.109375" style="1123" customWidth="1"/>
    <col min="6411" max="6656" width="7" style="1123"/>
    <col min="6657" max="6657" width="14.33203125" style="1123" customWidth="1"/>
    <col min="6658" max="6658" width="16.88671875" style="1123" customWidth="1"/>
    <col min="6659" max="6659" width="19.44140625" style="1123" customWidth="1"/>
    <col min="6660" max="6660" width="44.77734375" style="1123" customWidth="1"/>
    <col min="6661" max="6661" width="75.77734375" style="1123" customWidth="1"/>
    <col min="6662" max="6664" width="21.109375" style="1123" customWidth="1"/>
    <col min="6665" max="6665" width="25.109375" style="1123" customWidth="1"/>
    <col min="6666" max="6666" width="26.109375" style="1123" customWidth="1"/>
    <col min="6667" max="6912" width="7" style="1123"/>
    <col min="6913" max="6913" width="14.33203125" style="1123" customWidth="1"/>
    <col min="6914" max="6914" width="16.88671875" style="1123" customWidth="1"/>
    <col min="6915" max="6915" width="19.44140625" style="1123" customWidth="1"/>
    <col min="6916" max="6916" width="44.77734375" style="1123" customWidth="1"/>
    <col min="6917" max="6917" width="75.77734375" style="1123" customWidth="1"/>
    <col min="6918" max="6920" width="21.109375" style="1123" customWidth="1"/>
    <col min="6921" max="6921" width="25.109375" style="1123" customWidth="1"/>
    <col min="6922" max="6922" width="26.109375" style="1123" customWidth="1"/>
    <col min="6923" max="7168" width="7" style="1123"/>
    <col min="7169" max="7169" width="14.33203125" style="1123" customWidth="1"/>
    <col min="7170" max="7170" width="16.88671875" style="1123" customWidth="1"/>
    <col min="7171" max="7171" width="19.44140625" style="1123" customWidth="1"/>
    <col min="7172" max="7172" width="44.77734375" style="1123" customWidth="1"/>
    <col min="7173" max="7173" width="75.77734375" style="1123" customWidth="1"/>
    <col min="7174" max="7176" width="21.109375" style="1123" customWidth="1"/>
    <col min="7177" max="7177" width="25.109375" style="1123" customWidth="1"/>
    <col min="7178" max="7178" width="26.109375" style="1123" customWidth="1"/>
    <col min="7179" max="7424" width="7" style="1123"/>
    <col min="7425" max="7425" width="14.33203125" style="1123" customWidth="1"/>
    <col min="7426" max="7426" width="16.88671875" style="1123" customWidth="1"/>
    <col min="7427" max="7427" width="19.44140625" style="1123" customWidth="1"/>
    <col min="7428" max="7428" width="44.77734375" style="1123" customWidth="1"/>
    <col min="7429" max="7429" width="75.77734375" style="1123" customWidth="1"/>
    <col min="7430" max="7432" width="21.109375" style="1123" customWidth="1"/>
    <col min="7433" max="7433" width="25.109375" style="1123" customWidth="1"/>
    <col min="7434" max="7434" width="26.109375" style="1123" customWidth="1"/>
    <col min="7435" max="7680" width="7" style="1123"/>
    <col min="7681" max="7681" width="14.33203125" style="1123" customWidth="1"/>
    <col min="7682" max="7682" width="16.88671875" style="1123" customWidth="1"/>
    <col min="7683" max="7683" width="19.44140625" style="1123" customWidth="1"/>
    <col min="7684" max="7684" width="44.77734375" style="1123" customWidth="1"/>
    <col min="7685" max="7685" width="75.77734375" style="1123" customWidth="1"/>
    <col min="7686" max="7688" width="21.109375" style="1123" customWidth="1"/>
    <col min="7689" max="7689" width="25.109375" style="1123" customWidth="1"/>
    <col min="7690" max="7690" width="26.109375" style="1123" customWidth="1"/>
    <col min="7691" max="7936" width="7" style="1123"/>
    <col min="7937" max="7937" width="14.33203125" style="1123" customWidth="1"/>
    <col min="7938" max="7938" width="16.88671875" style="1123" customWidth="1"/>
    <col min="7939" max="7939" width="19.44140625" style="1123" customWidth="1"/>
    <col min="7940" max="7940" width="44.77734375" style="1123" customWidth="1"/>
    <col min="7941" max="7941" width="75.77734375" style="1123" customWidth="1"/>
    <col min="7942" max="7944" width="21.109375" style="1123" customWidth="1"/>
    <col min="7945" max="7945" width="25.109375" style="1123" customWidth="1"/>
    <col min="7946" max="7946" width="26.109375" style="1123" customWidth="1"/>
    <col min="7947" max="8192" width="7" style="1123"/>
    <col min="8193" max="8193" width="14.33203125" style="1123" customWidth="1"/>
    <col min="8194" max="8194" width="16.88671875" style="1123" customWidth="1"/>
    <col min="8195" max="8195" width="19.44140625" style="1123" customWidth="1"/>
    <col min="8196" max="8196" width="44.77734375" style="1123" customWidth="1"/>
    <col min="8197" max="8197" width="75.77734375" style="1123" customWidth="1"/>
    <col min="8198" max="8200" width="21.109375" style="1123" customWidth="1"/>
    <col min="8201" max="8201" width="25.109375" style="1123" customWidth="1"/>
    <col min="8202" max="8202" width="26.109375" style="1123" customWidth="1"/>
    <col min="8203" max="8448" width="7" style="1123"/>
    <col min="8449" max="8449" width="14.33203125" style="1123" customWidth="1"/>
    <col min="8450" max="8450" width="16.88671875" style="1123" customWidth="1"/>
    <col min="8451" max="8451" width="19.44140625" style="1123" customWidth="1"/>
    <col min="8452" max="8452" width="44.77734375" style="1123" customWidth="1"/>
    <col min="8453" max="8453" width="75.77734375" style="1123" customWidth="1"/>
    <col min="8454" max="8456" width="21.109375" style="1123" customWidth="1"/>
    <col min="8457" max="8457" width="25.109375" style="1123" customWidth="1"/>
    <col min="8458" max="8458" width="26.109375" style="1123" customWidth="1"/>
    <col min="8459" max="8704" width="7" style="1123"/>
    <col min="8705" max="8705" width="14.33203125" style="1123" customWidth="1"/>
    <col min="8706" max="8706" width="16.88671875" style="1123" customWidth="1"/>
    <col min="8707" max="8707" width="19.44140625" style="1123" customWidth="1"/>
    <col min="8708" max="8708" width="44.77734375" style="1123" customWidth="1"/>
    <col min="8709" max="8709" width="75.77734375" style="1123" customWidth="1"/>
    <col min="8710" max="8712" width="21.109375" style="1123" customWidth="1"/>
    <col min="8713" max="8713" width="25.109375" style="1123" customWidth="1"/>
    <col min="8714" max="8714" width="26.109375" style="1123" customWidth="1"/>
    <col min="8715" max="8960" width="7" style="1123"/>
    <col min="8961" max="8961" width="14.33203125" style="1123" customWidth="1"/>
    <col min="8962" max="8962" width="16.88671875" style="1123" customWidth="1"/>
    <col min="8963" max="8963" width="19.44140625" style="1123" customWidth="1"/>
    <col min="8964" max="8964" width="44.77734375" style="1123" customWidth="1"/>
    <col min="8965" max="8965" width="75.77734375" style="1123" customWidth="1"/>
    <col min="8966" max="8968" width="21.109375" style="1123" customWidth="1"/>
    <col min="8969" max="8969" width="25.109375" style="1123" customWidth="1"/>
    <col min="8970" max="8970" width="26.109375" style="1123" customWidth="1"/>
    <col min="8971" max="9216" width="7" style="1123"/>
    <col min="9217" max="9217" width="14.33203125" style="1123" customWidth="1"/>
    <col min="9218" max="9218" width="16.88671875" style="1123" customWidth="1"/>
    <col min="9219" max="9219" width="19.44140625" style="1123" customWidth="1"/>
    <col min="9220" max="9220" width="44.77734375" style="1123" customWidth="1"/>
    <col min="9221" max="9221" width="75.77734375" style="1123" customWidth="1"/>
    <col min="9222" max="9224" width="21.109375" style="1123" customWidth="1"/>
    <col min="9225" max="9225" width="25.109375" style="1123" customWidth="1"/>
    <col min="9226" max="9226" width="26.109375" style="1123" customWidth="1"/>
    <col min="9227" max="9472" width="7" style="1123"/>
    <col min="9473" max="9473" width="14.33203125" style="1123" customWidth="1"/>
    <col min="9474" max="9474" width="16.88671875" style="1123" customWidth="1"/>
    <col min="9475" max="9475" width="19.44140625" style="1123" customWidth="1"/>
    <col min="9476" max="9476" width="44.77734375" style="1123" customWidth="1"/>
    <col min="9477" max="9477" width="75.77734375" style="1123" customWidth="1"/>
    <col min="9478" max="9480" width="21.109375" style="1123" customWidth="1"/>
    <col min="9481" max="9481" width="25.109375" style="1123" customWidth="1"/>
    <col min="9482" max="9482" width="26.109375" style="1123" customWidth="1"/>
    <col min="9483" max="9728" width="7" style="1123"/>
    <col min="9729" max="9729" width="14.33203125" style="1123" customWidth="1"/>
    <col min="9730" max="9730" width="16.88671875" style="1123" customWidth="1"/>
    <col min="9731" max="9731" width="19.44140625" style="1123" customWidth="1"/>
    <col min="9732" max="9732" width="44.77734375" style="1123" customWidth="1"/>
    <col min="9733" max="9733" width="75.77734375" style="1123" customWidth="1"/>
    <col min="9734" max="9736" width="21.109375" style="1123" customWidth="1"/>
    <col min="9737" max="9737" width="25.109375" style="1123" customWidth="1"/>
    <col min="9738" max="9738" width="26.109375" style="1123" customWidth="1"/>
    <col min="9739" max="9984" width="7" style="1123"/>
    <col min="9985" max="9985" width="14.33203125" style="1123" customWidth="1"/>
    <col min="9986" max="9986" width="16.88671875" style="1123" customWidth="1"/>
    <col min="9987" max="9987" width="19.44140625" style="1123" customWidth="1"/>
    <col min="9988" max="9988" width="44.77734375" style="1123" customWidth="1"/>
    <col min="9989" max="9989" width="75.77734375" style="1123" customWidth="1"/>
    <col min="9990" max="9992" width="21.109375" style="1123" customWidth="1"/>
    <col min="9993" max="9993" width="25.109375" style="1123" customWidth="1"/>
    <col min="9994" max="9994" width="26.109375" style="1123" customWidth="1"/>
    <col min="9995" max="10240" width="7" style="1123"/>
    <col min="10241" max="10241" width="14.33203125" style="1123" customWidth="1"/>
    <col min="10242" max="10242" width="16.88671875" style="1123" customWidth="1"/>
    <col min="10243" max="10243" width="19.44140625" style="1123" customWidth="1"/>
    <col min="10244" max="10244" width="44.77734375" style="1123" customWidth="1"/>
    <col min="10245" max="10245" width="75.77734375" style="1123" customWidth="1"/>
    <col min="10246" max="10248" width="21.109375" style="1123" customWidth="1"/>
    <col min="10249" max="10249" width="25.109375" style="1123" customWidth="1"/>
    <col min="10250" max="10250" width="26.109375" style="1123" customWidth="1"/>
    <col min="10251" max="10496" width="7" style="1123"/>
    <col min="10497" max="10497" width="14.33203125" style="1123" customWidth="1"/>
    <col min="10498" max="10498" width="16.88671875" style="1123" customWidth="1"/>
    <col min="10499" max="10499" width="19.44140625" style="1123" customWidth="1"/>
    <col min="10500" max="10500" width="44.77734375" style="1123" customWidth="1"/>
    <col min="10501" max="10501" width="75.77734375" style="1123" customWidth="1"/>
    <col min="10502" max="10504" width="21.109375" style="1123" customWidth="1"/>
    <col min="10505" max="10505" width="25.109375" style="1123" customWidth="1"/>
    <col min="10506" max="10506" width="26.109375" style="1123" customWidth="1"/>
    <col min="10507" max="10752" width="7" style="1123"/>
    <col min="10753" max="10753" width="14.33203125" style="1123" customWidth="1"/>
    <col min="10754" max="10754" width="16.88671875" style="1123" customWidth="1"/>
    <col min="10755" max="10755" width="19.44140625" style="1123" customWidth="1"/>
    <col min="10756" max="10756" width="44.77734375" style="1123" customWidth="1"/>
    <col min="10757" max="10757" width="75.77734375" style="1123" customWidth="1"/>
    <col min="10758" max="10760" width="21.109375" style="1123" customWidth="1"/>
    <col min="10761" max="10761" width="25.109375" style="1123" customWidth="1"/>
    <col min="10762" max="10762" width="26.109375" style="1123" customWidth="1"/>
    <col min="10763" max="11008" width="7" style="1123"/>
    <col min="11009" max="11009" width="14.33203125" style="1123" customWidth="1"/>
    <col min="11010" max="11010" width="16.88671875" style="1123" customWidth="1"/>
    <col min="11011" max="11011" width="19.44140625" style="1123" customWidth="1"/>
    <col min="11012" max="11012" width="44.77734375" style="1123" customWidth="1"/>
    <col min="11013" max="11013" width="75.77734375" style="1123" customWidth="1"/>
    <col min="11014" max="11016" width="21.109375" style="1123" customWidth="1"/>
    <col min="11017" max="11017" width="25.109375" style="1123" customWidth="1"/>
    <col min="11018" max="11018" width="26.109375" style="1123" customWidth="1"/>
    <col min="11019" max="11264" width="7" style="1123"/>
    <col min="11265" max="11265" width="14.33203125" style="1123" customWidth="1"/>
    <col min="11266" max="11266" width="16.88671875" style="1123" customWidth="1"/>
    <col min="11267" max="11267" width="19.44140625" style="1123" customWidth="1"/>
    <col min="11268" max="11268" width="44.77734375" style="1123" customWidth="1"/>
    <col min="11269" max="11269" width="75.77734375" style="1123" customWidth="1"/>
    <col min="11270" max="11272" width="21.109375" style="1123" customWidth="1"/>
    <col min="11273" max="11273" width="25.109375" style="1123" customWidth="1"/>
    <col min="11274" max="11274" width="26.109375" style="1123" customWidth="1"/>
    <col min="11275" max="11520" width="7" style="1123"/>
    <col min="11521" max="11521" width="14.33203125" style="1123" customWidth="1"/>
    <col min="11522" max="11522" width="16.88671875" style="1123" customWidth="1"/>
    <col min="11523" max="11523" width="19.44140625" style="1123" customWidth="1"/>
    <col min="11524" max="11524" width="44.77734375" style="1123" customWidth="1"/>
    <col min="11525" max="11525" width="75.77734375" style="1123" customWidth="1"/>
    <col min="11526" max="11528" width="21.109375" style="1123" customWidth="1"/>
    <col min="11529" max="11529" width="25.109375" style="1123" customWidth="1"/>
    <col min="11530" max="11530" width="26.109375" style="1123" customWidth="1"/>
    <col min="11531" max="11776" width="7" style="1123"/>
    <col min="11777" max="11777" width="14.33203125" style="1123" customWidth="1"/>
    <col min="11778" max="11778" width="16.88671875" style="1123" customWidth="1"/>
    <col min="11779" max="11779" width="19.44140625" style="1123" customWidth="1"/>
    <col min="11780" max="11780" width="44.77734375" style="1123" customWidth="1"/>
    <col min="11781" max="11781" width="75.77734375" style="1123" customWidth="1"/>
    <col min="11782" max="11784" width="21.109375" style="1123" customWidth="1"/>
    <col min="11785" max="11785" width="25.109375" style="1123" customWidth="1"/>
    <col min="11786" max="11786" width="26.109375" style="1123" customWidth="1"/>
    <col min="11787" max="12032" width="7" style="1123"/>
    <col min="12033" max="12033" width="14.33203125" style="1123" customWidth="1"/>
    <col min="12034" max="12034" width="16.88671875" style="1123" customWidth="1"/>
    <col min="12035" max="12035" width="19.44140625" style="1123" customWidth="1"/>
    <col min="12036" max="12036" width="44.77734375" style="1123" customWidth="1"/>
    <col min="12037" max="12037" width="75.77734375" style="1123" customWidth="1"/>
    <col min="12038" max="12040" width="21.109375" style="1123" customWidth="1"/>
    <col min="12041" max="12041" width="25.109375" style="1123" customWidth="1"/>
    <col min="12042" max="12042" width="26.109375" style="1123" customWidth="1"/>
    <col min="12043" max="12288" width="7" style="1123"/>
    <col min="12289" max="12289" width="14.33203125" style="1123" customWidth="1"/>
    <col min="12290" max="12290" width="16.88671875" style="1123" customWidth="1"/>
    <col min="12291" max="12291" width="19.44140625" style="1123" customWidth="1"/>
    <col min="12292" max="12292" width="44.77734375" style="1123" customWidth="1"/>
    <col min="12293" max="12293" width="75.77734375" style="1123" customWidth="1"/>
    <col min="12294" max="12296" width="21.109375" style="1123" customWidth="1"/>
    <col min="12297" max="12297" width="25.109375" style="1123" customWidth="1"/>
    <col min="12298" max="12298" width="26.109375" style="1123" customWidth="1"/>
    <col min="12299" max="12544" width="7" style="1123"/>
    <col min="12545" max="12545" width="14.33203125" style="1123" customWidth="1"/>
    <col min="12546" max="12546" width="16.88671875" style="1123" customWidth="1"/>
    <col min="12547" max="12547" width="19.44140625" style="1123" customWidth="1"/>
    <col min="12548" max="12548" width="44.77734375" style="1123" customWidth="1"/>
    <col min="12549" max="12549" width="75.77734375" style="1123" customWidth="1"/>
    <col min="12550" max="12552" width="21.109375" style="1123" customWidth="1"/>
    <col min="12553" max="12553" width="25.109375" style="1123" customWidth="1"/>
    <col min="12554" max="12554" width="26.109375" style="1123" customWidth="1"/>
    <col min="12555" max="12800" width="7" style="1123"/>
    <col min="12801" max="12801" width="14.33203125" style="1123" customWidth="1"/>
    <col min="12802" max="12802" width="16.88671875" style="1123" customWidth="1"/>
    <col min="12803" max="12803" width="19.44140625" style="1123" customWidth="1"/>
    <col min="12804" max="12804" width="44.77734375" style="1123" customWidth="1"/>
    <col min="12805" max="12805" width="75.77734375" style="1123" customWidth="1"/>
    <col min="12806" max="12808" width="21.109375" style="1123" customWidth="1"/>
    <col min="12809" max="12809" width="25.109375" style="1123" customWidth="1"/>
    <col min="12810" max="12810" width="26.109375" style="1123" customWidth="1"/>
    <col min="12811" max="13056" width="7" style="1123"/>
    <col min="13057" max="13057" width="14.33203125" style="1123" customWidth="1"/>
    <col min="13058" max="13058" width="16.88671875" style="1123" customWidth="1"/>
    <col min="13059" max="13059" width="19.44140625" style="1123" customWidth="1"/>
    <col min="13060" max="13060" width="44.77734375" style="1123" customWidth="1"/>
    <col min="13061" max="13061" width="75.77734375" style="1123" customWidth="1"/>
    <col min="13062" max="13064" width="21.109375" style="1123" customWidth="1"/>
    <col min="13065" max="13065" width="25.109375" style="1123" customWidth="1"/>
    <col min="13066" max="13066" width="26.109375" style="1123" customWidth="1"/>
    <col min="13067" max="13312" width="7" style="1123"/>
    <col min="13313" max="13313" width="14.33203125" style="1123" customWidth="1"/>
    <col min="13314" max="13314" width="16.88671875" style="1123" customWidth="1"/>
    <col min="13315" max="13315" width="19.44140625" style="1123" customWidth="1"/>
    <col min="13316" max="13316" width="44.77734375" style="1123" customWidth="1"/>
    <col min="13317" max="13317" width="75.77734375" style="1123" customWidth="1"/>
    <col min="13318" max="13320" width="21.109375" style="1123" customWidth="1"/>
    <col min="13321" max="13321" width="25.109375" style="1123" customWidth="1"/>
    <col min="13322" max="13322" width="26.109375" style="1123" customWidth="1"/>
    <col min="13323" max="13568" width="7" style="1123"/>
    <col min="13569" max="13569" width="14.33203125" style="1123" customWidth="1"/>
    <col min="13570" max="13570" width="16.88671875" style="1123" customWidth="1"/>
    <col min="13571" max="13571" width="19.44140625" style="1123" customWidth="1"/>
    <col min="13572" max="13572" width="44.77734375" style="1123" customWidth="1"/>
    <col min="13573" max="13573" width="75.77734375" style="1123" customWidth="1"/>
    <col min="13574" max="13576" width="21.109375" style="1123" customWidth="1"/>
    <col min="13577" max="13577" width="25.109375" style="1123" customWidth="1"/>
    <col min="13578" max="13578" width="26.109375" style="1123" customWidth="1"/>
    <col min="13579" max="13824" width="7" style="1123"/>
    <col min="13825" max="13825" width="14.33203125" style="1123" customWidth="1"/>
    <col min="13826" max="13826" width="16.88671875" style="1123" customWidth="1"/>
    <col min="13827" max="13827" width="19.44140625" style="1123" customWidth="1"/>
    <col min="13828" max="13828" width="44.77734375" style="1123" customWidth="1"/>
    <col min="13829" max="13829" width="75.77734375" style="1123" customWidth="1"/>
    <col min="13830" max="13832" width="21.109375" style="1123" customWidth="1"/>
    <col min="13833" max="13833" width="25.109375" style="1123" customWidth="1"/>
    <col min="13834" max="13834" width="26.109375" style="1123" customWidth="1"/>
    <col min="13835" max="14080" width="7" style="1123"/>
    <col min="14081" max="14081" width="14.33203125" style="1123" customWidth="1"/>
    <col min="14082" max="14082" width="16.88671875" style="1123" customWidth="1"/>
    <col min="14083" max="14083" width="19.44140625" style="1123" customWidth="1"/>
    <col min="14084" max="14084" width="44.77734375" style="1123" customWidth="1"/>
    <col min="14085" max="14085" width="75.77734375" style="1123" customWidth="1"/>
    <col min="14086" max="14088" width="21.109375" style="1123" customWidth="1"/>
    <col min="14089" max="14089" width="25.109375" style="1123" customWidth="1"/>
    <col min="14090" max="14090" width="26.109375" style="1123" customWidth="1"/>
    <col min="14091" max="14336" width="7" style="1123"/>
    <col min="14337" max="14337" width="14.33203125" style="1123" customWidth="1"/>
    <col min="14338" max="14338" width="16.88671875" style="1123" customWidth="1"/>
    <col min="14339" max="14339" width="19.44140625" style="1123" customWidth="1"/>
    <col min="14340" max="14340" width="44.77734375" style="1123" customWidth="1"/>
    <col min="14341" max="14341" width="75.77734375" style="1123" customWidth="1"/>
    <col min="14342" max="14344" width="21.109375" style="1123" customWidth="1"/>
    <col min="14345" max="14345" width="25.109375" style="1123" customWidth="1"/>
    <col min="14346" max="14346" width="26.109375" style="1123" customWidth="1"/>
    <col min="14347" max="14592" width="7" style="1123"/>
    <col min="14593" max="14593" width="14.33203125" style="1123" customWidth="1"/>
    <col min="14594" max="14594" width="16.88671875" style="1123" customWidth="1"/>
    <col min="14595" max="14595" width="19.44140625" style="1123" customWidth="1"/>
    <col min="14596" max="14596" width="44.77734375" style="1123" customWidth="1"/>
    <col min="14597" max="14597" width="75.77734375" style="1123" customWidth="1"/>
    <col min="14598" max="14600" width="21.109375" style="1123" customWidth="1"/>
    <col min="14601" max="14601" width="25.109375" style="1123" customWidth="1"/>
    <col min="14602" max="14602" width="26.109375" style="1123" customWidth="1"/>
    <col min="14603" max="14848" width="7" style="1123"/>
    <col min="14849" max="14849" width="14.33203125" style="1123" customWidth="1"/>
    <col min="14850" max="14850" width="16.88671875" style="1123" customWidth="1"/>
    <col min="14851" max="14851" width="19.44140625" style="1123" customWidth="1"/>
    <col min="14852" max="14852" width="44.77734375" style="1123" customWidth="1"/>
    <col min="14853" max="14853" width="75.77734375" style="1123" customWidth="1"/>
    <col min="14854" max="14856" width="21.109375" style="1123" customWidth="1"/>
    <col min="14857" max="14857" width="25.109375" style="1123" customWidth="1"/>
    <col min="14858" max="14858" width="26.109375" style="1123" customWidth="1"/>
    <col min="14859" max="15104" width="7" style="1123"/>
    <col min="15105" max="15105" width="14.33203125" style="1123" customWidth="1"/>
    <col min="15106" max="15106" width="16.88671875" style="1123" customWidth="1"/>
    <col min="15107" max="15107" width="19.44140625" style="1123" customWidth="1"/>
    <col min="15108" max="15108" width="44.77734375" style="1123" customWidth="1"/>
    <col min="15109" max="15109" width="75.77734375" style="1123" customWidth="1"/>
    <col min="15110" max="15112" width="21.109375" style="1123" customWidth="1"/>
    <col min="15113" max="15113" width="25.109375" style="1123" customWidth="1"/>
    <col min="15114" max="15114" width="26.109375" style="1123" customWidth="1"/>
    <col min="15115" max="15360" width="7" style="1123"/>
    <col min="15361" max="15361" width="14.33203125" style="1123" customWidth="1"/>
    <col min="15362" max="15362" width="16.88671875" style="1123" customWidth="1"/>
    <col min="15363" max="15363" width="19.44140625" style="1123" customWidth="1"/>
    <col min="15364" max="15364" width="44.77734375" style="1123" customWidth="1"/>
    <col min="15365" max="15365" width="75.77734375" style="1123" customWidth="1"/>
    <col min="15366" max="15368" width="21.109375" style="1123" customWidth="1"/>
    <col min="15369" max="15369" width="25.109375" style="1123" customWidth="1"/>
    <col min="15370" max="15370" width="26.109375" style="1123" customWidth="1"/>
    <col min="15371" max="15616" width="7" style="1123"/>
    <col min="15617" max="15617" width="14.33203125" style="1123" customWidth="1"/>
    <col min="15618" max="15618" width="16.88671875" style="1123" customWidth="1"/>
    <col min="15619" max="15619" width="19.44140625" style="1123" customWidth="1"/>
    <col min="15620" max="15620" width="44.77734375" style="1123" customWidth="1"/>
    <col min="15621" max="15621" width="75.77734375" style="1123" customWidth="1"/>
    <col min="15622" max="15624" width="21.109375" style="1123" customWidth="1"/>
    <col min="15625" max="15625" width="25.109375" style="1123" customWidth="1"/>
    <col min="15626" max="15626" width="26.109375" style="1123" customWidth="1"/>
    <col min="15627" max="15872" width="7" style="1123"/>
    <col min="15873" max="15873" width="14.33203125" style="1123" customWidth="1"/>
    <col min="15874" max="15874" width="16.88671875" style="1123" customWidth="1"/>
    <col min="15875" max="15875" width="19.44140625" style="1123" customWidth="1"/>
    <col min="15876" max="15876" width="44.77734375" style="1123" customWidth="1"/>
    <col min="15877" max="15877" width="75.77734375" style="1123" customWidth="1"/>
    <col min="15878" max="15880" width="21.109375" style="1123" customWidth="1"/>
    <col min="15881" max="15881" width="25.109375" style="1123" customWidth="1"/>
    <col min="15882" max="15882" width="26.109375" style="1123" customWidth="1"/>
    <col min="15883" max="16128" width="7" style="1123"/>
    <col min="16129" max="16129" width="14.33203125" style="1123" customWidth="1"/>
    <col min="16130" max="16130" width="16.88671875" style="1123" customWidth="1"/>
    <col min="16131" max="16131" width="19.44140625" style="1123" customWidth="1"/>
    <col min="16132" max="16132" width="44.77734375" style="1123" customWidth="1"/>
    <col min="16133" max="16133" width="75.77734375" style="1123" customWidth="1"/>
    <col min="16134" max="16136" width="21.109375" style="1123" customWidth="1"/>
    <col min="16137" max="16137" width="25.109375" style="1123" customWidth="1"/>
    <col min="16138" max="16138" width="26.109375" style="1123" customWidth="1"/>
    <col min="16139" max="16384" width="7" style="1123"/>
  </cols>
  <sheetData>
    <row r="1" spans="1:10" s="1400" customFormat="1" ht="93.6" customHeight="1" x14ac:dyDescent="0.3">
      <c r="A1" s="1397"/>
      <c r="B1" s="1398"/>
      <c r="C1" s="1397"/>
      <c r="D1" s="1398"/>
      <c r="E1" s="1399"/>
      <c r="I1" s="1851" t="s">
        <v>1562</v>
      </c>
      <c r="J1" s="1851"/>
    </row>
    <row r="2" spans="1:10" ht="24.6" x14ac:dyDescent="0.25">
      <c r="A2" s="1929" t="s">
        <v>1563</v>
      </c>
      <c r="B2" s="1929"/>
      <c r="C2" s="1929"/>
      <c r="D2" s="1929"/>
      <c r="E2" s="1929"/>
      <c r="F2" s="1929"/>
      <c r="G2" s="1929"/>
      <c r="H2" s="1929"/>
      <c r="I2" s="1929"/>
      <c r="J2" s="1929"/>
    </row>
    <row r="3" spans="1:10" ht="15.6" x14ac:dyDescent="0.3">
      <c r="A3" s="1401" t="s">
        <v>1564</v>
      </c>
      <c r="B3" s="1402"/>
      <c r="C3" s="1403"/>
      <c r="D3" s="1404"/>
      <c r="E3" s="1405"/>
      <c r="F3" s="1406"/>
      <c r="G3" s="1407"/>
      <c r="H3" s="1407"/>
    </row>
    <row r="4" spans="1:10" ht="15.6" x14ac:dyDescent="0.3">
      <c r="A4" s="1409" t="s">
        <v>691</v>
      </c>
      <c r="B4" s="1402"/>
      <c r="C4" s="1403"/>
      <c r="D4" s="1404"/>
      <c r="E4" s="1405"/>
      <c r="F4" s="1406"/>
      <c r="G4" s="1407"/>
      <c r="H4" s="1407"/>
      <c r="J4" s="1410"/>
    </row>
    <row r="5" spans="1:10" ht="15.6" x14ac:dyDescent="0.3">
      <c r="A5" s="1411"/>
      <c r="B5" s="1412"/>
      <c r="C5" s="1413"/>
      <c r="D5" s="1414"/>
      <c r="E5" s="1405"/>
      <c r="F5" s="1406"/>
      <c r="G5" s="1407"/>
      <c r="H5" s="1407"/>
      <c r="J5" s="1410" t="s">
        <v>692</v>
      </c>
    </row>
    <row r="6" spans="1:10" ht="141.6" customHeight="1" x14ac:dyDescent="0.25">
      <c r="A6" s="1415" t="s">
        <v>866</v>
      </c>
      <c r="B6" s="1416" t="s">
        <v>867</v>
      </c>
      <c r="C6" s="1415" t="s">
        <v>868</v>
      </c>
      <c r="D6" s="1080" t="s">
        <v>1565</v>
      </c>
      <c r="E6" s="1417" t="s">
        <v>1566</v>
      </c>
      <c r="F6" s="1417" t="s">
        <v>1567</v>
      </c>
      <c r="G6" s="1417" t="s">
        <v>1568</v>
      </c>
      <c r="H6" s="1417" t="s">
        <v>1569</v>
      </c>
      <c r="I6" s="1417" t="s">
        <v>1570</v>
      </c>
      <c r="J6" s="1418" t="s">
        <v>1571</v>
      </c>
    </row>
    <row r="7" spans="1:10" s="1400" customFormat="1" ht="15.6" x14ac:dyDescent="0.3">
      <c r="A7" s="1419" t="s">
        <v>1410</v>
      </c>
      <c r="B7" s="1420"/>
      <c r="C7" s="1421"/>
      <c r="D7" s="1422" t="s">
        <v>1572</v>
      </c>
      <c r="E7" s="1423"/>
      <c r="F7" s="1424"/>
      <c r="G7" s="1424"/>
      <c r="H7" s="1424"/>
      <c r="I7" s="1425">
        <f>I8</f>
        <v>333756340</v>
      </c>
      <c r="J7" s="1424"/>
    </row>
    <row r="8" spans="1:10" s="1400" customFormat="1" ht="15.6" x14ac:dyDescent="0.3">
      <c r="A8" s="1419" t="s">
        <v>1412</v>
      </c>
      <c r="B8" s="1420"/>
      <c r="C8" s="1421"/>
      <c r="D8" s="1422" t="s">
        <v>1572</v>
      </c>
      <c r="E8" s="1423"/>
      <c r="F8" s="1424"/>
      <c r="G8" s="1424"/>
      <c r="H8" s="1424"/>
      <c r="I8" s="1425">
        <f>I9</f>
        <v>333756340</v>
      </c>
      <c r="J8" s="1424"/>
    </row>
    <row r="9" spans="1:10" s="1430" customFormat="1" ht="15.6" customHeight="1" x14ac:dyDescent="0.3">
      <c r="A9" s="1930" t="s">
        <v>1417</v>
      </c>
      <c r="B9" s="1930" t="s">
        <v>419</v>
      </c>
      <c r="C9" s="1932" t="s">
        <v>1038</v>
      </c>
      <c r="D9" s="1932" t="s">
        <v>418</v>
      </c>
      <c r="E9" s="1426"/>
      <c r="F9" s="1177"/>
      <c r="G9" s="1427"/>
      <c r="H9" s="1427"/>
      <c r="I9" s="1428">
        <f>SUM(I10:I10)</f>
        <v>333756340</v>
      </c>
      <c r="J9" s="1429"/>
    </row>
    <row r="10" spans="1:10" s="1430" customFormat="1" ht="96" customHeight="1" x14ac:dyDescent="0.3">
      <c r="A10" s="1931"/>
      <c r="B10" s="1931"/>
      <c r="C10" s="1933"/>
      <c r="D10" s="1933"/>
      <c r="E10" s="1431" t="s">
        <v>1573</v>
      </c>
      <c r="F10" s="1432"/>
      <c r="G10" s="1427"/>
      <c r="H10" s="1427"/>
      <c r="I10" s="1433">
        <f>370140774-17327700+6199100-11900000-15363238+900000+4669750-3562346</f>
        <v>333756340</v>
      </c>
      <c r="J10" s="1434"/>
    </row>
    <row r="11" spans="1:10" ht="20.399999999999999" x14ac:dyDescent="0.35">
      <c r="A11" s="1924" t="s">
        <v>1481</v>
      </c>
      <c r="B11" s="1925"/>
      <c r="C11" s="1925"/>
      <c r="D11" s="1926"/>
      <c r="E11" s="1435"/>
      <c r="F11" s="1927"/>
      <c r="G11" s="1927"/>
      <c r="H11" s="1436"/>
      <c r="I11" s="1437">
        <f>I7</f>
        <v>333756340</v>
      </c>
      <c r="J11" s="1438"/>
    </row>
    <row r="12" spans="1:10" s="1299" customFormat="1" ht="17.399999999999999" x14ac:dyDescent="0.3">
      <c r="A12" s="1439"/>
      <c r="B12" s="1439"/>
      <c r="C12" s="1439"/>
      <c r="D12" s="1439"/>
      <c r="E12" s="1440"/>
      <c r="F12" s="1439"/>
      <c r="G12" s="1439"/>
      <c r="H12" s="1439"/>
      <c r="I12" s="1441"/>
      <c r="J12" s="1441"/>
    </row>
    <row r="13" spans="1:10" s="1299" customFormat="1" ht="17.399999999999999" x14ac:dyDescent="0.3">
      <c r="A13" s="1439"/>
      <c r="B13" s="1439"/>
      <c r="C13" s="1439"/>
      <c r="D13" s="1439"/>
      <c r="E13" s="1440"/>
      <c r="F13" s="1439"/>
      <c r="G13" s="1439"/>
      <c r="H13" s="1439"/>
      <c r="I13" s="1441"/>
      <c r="J13" s="1441"/>
    </row>
    <row r="14" spans="1:10" ht="17.399999999999999" x14ac:dyDescent="0.3">
      <c r="A14" s="1928" t="s">
        <v>1574</v>
      </c>
      <c r="B14" s="1928"/>
      <c r="C14" s="1928"/>
      <c r="D14" s="1928"/>
      <c r="E14" s="1442"/>
      <c r="F14" s="1443"/>
      <c r="G14" s="1443"/>
      <c r="H14" s="1443"/>
      <c r="J14" s="1444" t="s">
        <v>682</v>
      </c>
    </row>
    <row r="33" spans="9:9" x14ac:dyDescent="0.25">
      <c r="I33" s="1445"/>
    </row>
    <row r="34" spans="9:9" x14ac:dyDescent="0.25">
      <c r="I34" s="1445"/>
    </row>
    <row r="35" spans="9:9" x14ac:dyDescent="0.25">
      <c r="I35" s="1445"/>
    </row>
    <row r="36" spans="9:9" x14ac:dyDescent="0.25">
      <c r="I36" s="1445"/>
    </row>
    <row r="37" spans="9:9" x14ac:dyDescent="0.25">
      <c r="I37" s="1445"/>
    </row>
  </sheetData>
  <mergeCells count="9">
    <mergeCell ref="A11:D11"/>
    <mergeCell ref="F11:G11"/>
    <mergeCell ref="A14:D14"/>
    <mergeCell ref="I1:J1"/>
    <mergeCell ref="A2:J2"/>
    <mergeCell ref="A9:A10"/>
    <mergeCell ref="B9:B10"/>
    <mergeCell ref="C9:C10"/>
    <mergeCell ref="D9:D10"/>
  </mergeCells>
  <conditionalFormatting sqref="F6">
    <cfRule type="containsText" dxfId="35" priority="3" stopIfTrue="1" operator="containsText" text="громадськй бюджет">
      <formula>NOT(ISERROR(SEARCH("громадськй бюджет",F6)))</formula>
    </cfRule>
  </conditionalFormatting>
  <conditionalFormatting sqref="E1:E65536">
    <cfRule type="containsText" dxfId="34" priority="1" stopIfTrue="1" operator="containsText" text="Громадський бюджет">
      <formula>NOT(ISERROR(SEARCH("Громадський бюджет",E1)))</formula>
    </cfRule>
    <cfRule type="containsText" dxfId="33" priority="2" stopIfTrue="1" operator="containsText" text="Громадський бюджет">
      <formula>NOT(ISERROR(SEARCH("Громадський бюджет",E1)))</formula>
    </cfRule>
  </conditionalFormatting>
  <pageMargins left="0.35433070866141736" right="0.27559055118110237" top="0.31" bottom="0.4" header="0.15748031496062992" footer="0.19685039370078741"/>
  <pageSetup paperSize="9" scale="50" fitToHeight="0" orientation="landscape" r:id="rId1"/>
  <headerFooter>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290"/>
  <sheetViews>
    <sheetView showRuler="0" view="pageBreakPreview" topLeftCell="D277" zoomScale="70" zoomScaleNormal="70" zoomScaleSheetLayoutView="70" workbookViewId="0">
      <selection activeCell="F69" sqref="F69"/>
    </sheetView>
  </sheetViews>
  <sheetFormatPr defaultColWidth="9.109375" defaultRowHeight="13.2" x14ac:dyDescent="0.25"/>
  <cols>
    <col min="1" max="1" width="3.6640625" style="1454" hidden="1" customWidth="1"/>
    <col min="2" max="2" width="16.44140625" style="1454" hidden="1" customWidth="1"/>
    <col min="3" max="3" width="7.44140625" style="1454" hidden="1" customWidth="1"/>
    <col min="4" max="4" width="16.109375" style="1563" customWidth="1"/>
    <col min="5" max="5" width="12.44140625" style="1564" customWidth="1"/>
    <col min="6" max="6" width="15.44140625" style="1563" hidden="1" customWidth="1"/>
    <col min="7" max="7" width="15.33203125" style="1564" customWidth="1"/>
    <col min="8" max="8" width="55" style="1564" customWidth="1"/>
    <col min="9" max="9" width="54" style="1564" hidden="1" customWidth="1"/>
    <col min="10" max="10" width="65.33203125" style="1564" customWidth="1"/>
    <col min="11" max="11" width="22.33203125" style="1564" customWidth="1"/>
    <col min="12" max="12" width="22.44140625" style="1571" customWidth="1"/>
    <col min="13" max="13" width="22.33203125" style="1566" customWidth="1"/>
    <col min="14" max="14" width="23.33203125" style="1566" customWidth="1"/>
    <col min="15" max="15" width="21.77734375" style="1571" customWidth="1"/>
    <col min="16" max="16" width="9.109375" style="1455" customWidth="1"/>
    <col min="17" max="17" width="16.33203125" style="1455" bestFit="1" customWidth="1"/>
    <col min="18" max="256" width="9.109375" style="1455"/>
    <col min="257" max="259" width="0" style="1455" hidden="1" customWidth="1"/>
    <col min="260" max="260" width="16.109375" style="1455" customWidth="1"/>
    <col min="261" max="261" width="12.44140625" style="1455" customWidth="1"/>
    <col min="262" max="262" width="0" style="1455" hidden="1" customWidth="1"/>
    <col min="263" max="263" width="15.33203125" style="1455" customWidth="1"/>
    <col min="264" max="264" width="55" style="1455" customWidth="1"/>
    <col min="265" max="265" width="0" style="1455" hidden="1" customWidth="1"/>
    <col min="266" max="266" width="65.33203125" style="1455" customWidth="1"/>
    <col min="267" max="267" width="22.33203125" style="1455" customWidth="1"/>
    <col min="268" max="268" width="22.44140625" style="1455" customWidth="1"/>
    <col min="269" max="269" width="22.33203125" style="1455" customWidth="1"/>
    <col min="270" max="270" width="23.33203125" style="1455" customWidth="1"/>
    <col min="271" max="271" width="21.77734375" style="1455" customWidth="1"/>
    <col min="272" max="272" width="9.109375" style="1455" customWidth="1"/>
    <col min="273" max="273" width="16.33203125" style="1455" bestFit="1" customWidth="1"/>
    <col min="274" max="512" width="9.109375" style="1455"/>
    <col min="513" max="515" width="0" style="1455" hidden="1" customWidth="1"/>
    <col min="516" max="516" width="16.109375" style="1455" customWidth="1"/>
    <col min="517" max="517" width="12.44140625" style="1455" customWidth="1"/>
    <col min="518" max="518" width="0" style="1455" hidden="1" customWidth="1"/>
    <col min="519" max="519" width="15.33203125" style="1455" customWidth="1"/>
    <col min="520" max="520" width="55" style="1455" customWidth="1"/>
    <col min="521" max="521" width="0" style="1455" hidden="1" customWidth="1"/>
    <col min="522" max="522" width="65.33203125" style="1455" customWidth="1"/>
    <col min="523" max="523" width="22.33203125" style="1455" customWidth="1"/>
    <col min="524" max="524" width="22.44140625" style="1455" customWidth="1"/>
    <col min="525" max="525" width="22.33203125" style="1455" customWidth="1"/>
    <col min="526" max="526" width="23.33203125" style="1455" customWidth="1"/>
    <col min="527" max="527" width="21.77734375" style="1455" customWidth="1"/>
    <col min="528" max="528" width="9.109375" style="1455" customWidth="1"/>
    <col min="529" max="529" width="16.33203125" style="1455" bestFit="1" customWidth="1"/>
    <col min="530" max="768" width="9.109375" style="1455"/>
    <col min="769" max="771" width="0" style="1455" hidden="1" customWidth="1"/>
    <col min="772" max="772" width="16.109375" style="1455" customWidth="1"/>
    <col min="773" max="773" width="12.44140625" style="1455" customWidth="1"/>
    <col min="774" max="774" width="0" style="1455" hidden="1" customWidth="1"/>
    <col min="775" max="775" width="15.33203125" style="1455" customWidth="1"/>
    <col min="776" max="776" width="55" style="1455" customWidth="1"/>
    <col min="777" max="777" width="0" style="1455" hidden="1" customWidth="1"/>
    <col min="778" max="778" width="65.33203125" style="1455" customWidth="1"/>
    <col min="779" max="779" width="22.33203125" style="1455" customWidth="1"/>
    <col min="780" max="780" width="22.44140625" style="1455" customWidth="1"/>
    <col min="781" max="781" width="22.33203125" style="1455" customWidth="1"/>
    <col min="782" max="782" width="23.33203125" style="1455" customWidth="1"/>
    <col min="783" max="783" width="21.77734375" style="1455" customWidth="1"/>
    <col min="784" max="784" width="9.109375" style="1455" customWidth="1"/>
    <col min="785" max="785" width="16.33203125" style="1455" bestFit="1" customWidth="1"/>
    <col min="786" max="1024" width="9.109375" style="1455"/>
    <col min="1025" max="1027" width="0" style="1455" hidden="1" customWidth="1"/>
    <col min="1028" max="1028" width="16.109375" style="1455" customWidth="1"/>
    <col min="1029" max="1029" width="12.44140625" style="1455" customWidth="1"/>
    <col min="1030" max="1030" width="0" style="1455" hidden="1" customWidth="1"/>
    <col min="1031" max="1031" width="15.33203125" style="1455" customWidth="1"/>
    <col min="1032" max="1032" width="55" style="1455" customWidth="1"/>
    <col min="1033" max="1033" width="0" style="1455" hidden="1" customWidth="1"/>
    <col min="1034" max="1034" width="65.33203125" style="1455" customWidth="1"/>
    <col min="1035" max="1035" width="22.33203125" style="1455" customWidth="1"/>
    <col min="1036" max="1036" width="22.44140625" style="1455" customWidth="1"/>
    <col min="1037" max="1037" width="22.33203125" style="1455" customWidth="1"/>
    <col min="1038" max="1038" width="23.33203125" style="1455" customWidth="1"/>
    <col min="1039" max="1039" width="21.77734375" style="1455" customWidth="1"/>
    <col min="1040" max="1040" width="9.109375" style="1455" customWidth="1"/>
    <col min="1041" max="1041" width="16.33203125" style="1455" bestFit="1" customWidth="1"/>
    <col min="1042" max="1280" width="9.109375" style="1455"/>
    <col min="1281" max="1283" width="0" style="1455" hidden="1" customWidth="1"/>
    <col min="1284" max="1284" width="16.109375" style="1455" customWidth="1"/>
    <col min="1285" max="1285" width="12.44140625" style="1455" customWidth="1"/>
    <col min="1286" max="1286" width="0" style="1455" hidden="1" customWidth="1"/>
    <col min="1287" max="1287" width="15.33203125" style="1455" customWidth="1"/>
    <col min="1288" max="1288" width="55" style="1455" customWidth="1"/>
    <col min="1289" max="1289" width="0" style="1455" hidden="1" customWidth="1"/>
    <col min="1290" max="1290" width="65.33203125" style="1455" customWidth="1"/>
    <col min="1291" max="1291" width="22.33203125" style="1455" customWidth="1"/>
    <col min="1292" max="1292" width="22.44140625" style="1455" customWidth="1"/>
    <col min="1293" max="1293" width="22.33203125" style="1455" customWidth="1"/>
    <col min="1294" max="1294" width="23.33203125" style="1455" customWidth="1"/>
    <col min="1295" max="1295" width="21.77734375" style="1455" customWidth="1"/>
    <col min="1296" max="1296" width="9.109375" style="1455" customWidth="1"/>
    <col min="1297" max="1297" width="16.33203125" style="1455" bestFit="1" customWidth="1"/>
    <col min="1298" max="1536" width="9.109375" style="1455"/>
    <col min="1537" max="1539" width="0" style="1455" hidden="1" customWidth="1"/>
    <col min="1540" max="1540" width="16.109375" style="1455" customWidth="1"/>
    <col min="1541" max="1541" width="12.44140625" style="1455" customWidth="1"/>
    <col min="1542" max="1542" width="0" style="1455" hidden="1" customWidth="1"/>
    <col min="1543" max="1543" width="15.33203125" style="1455" customWidth="1"/>
    <col min="1544" max="1544" width="55" style="1455" customWidth="1"/>
    <col min="1545" max="1545" width="0" style="1455" hidden="1" customWidth="1"/>
    <col min="1546" max="1546" width="65.33203125" style="1455" customWidth="1"/>
    <col min="1547" max="1547" width="22.33203125" style="1455" customWidth="1"/>
    <col min="1548" max="1548" width="22.44140625" style="1455" customWidth="1"/>
    <col min="1549" max="1549" width="22.33203125" style="1455" customWidth="1"/>
    <col min="1550" max="1550" width="23.33203125" style="1455" customWidth="1"/>
    <col min="1551" max="1551" width="21.77734375" style="1455" customWidth="1"/>
    <col min="1552" max="1552" width="9.109375" style="1455" customWidth="1"/>
    <col min="1553" max="1553" width="16.33203125" style="1455" bestFit="1" customWidth="1"/>
    <col min="1554" max="1792" width="9.109375" style="1455"/>
    <col min="1793" max="1795" width="0" style="1455" hidden="1" customWidth="1"/>
    <col min="1796" max="1796" width="16.109375" style="1455" customWidth="1"/>
    <col min="1797" max="1797" width="12.44140625" style="1455" customWidth="1"/>
    <col min="1798" max="1798" width="0" style="1455" hidden="1" customWidth="1"/>
    <col min="1799" max="1799" width="15.33203125" style="1455" customWidth="1"/>
    <col min="1800" max="1800" width="55" style="1455" customWidth="1"/>
    <col min="1801" max="1801" width="0" style="1455" hidden="1" customWidth="1"/>
    <col min="1802" max="1802" width="65.33203125" style="1455" customWidth="1"/>
    <col min="1803" max="1803" width="22.33203125" style="1455" customWidth="1"/>
    <col min="1804" max="1804" width="22.44140625" style="1455" customWidth="1"/>
    <col min="1805" max="1805" width="22.33203125" style="1455" customWidth="1"/>
    <col min="1806" max="1806" width="23.33203125" style="1455" customWidth="1"/>
    <col min="1807" max="1807" width="21.77734375" style="1455" customWidth="1"/>
    <col min="1808" max="1808" width="9.109375" style="1455" customWidth="1"/>
    <col min="1809" max="1809" width="16.33203125" style="1455" bestFit="1" customWidth="1"/>
    <col min="1810" max="2048" width="9.109375" style="1455"/>
    <col min="2049" max="2051" width="0" style="1455" hidden="1" customWidth="1"/>
    <col min="2052" max="2052" width="16.109375" style="1455" customWidth="1"/>
    <col min="2053" max="2053" width="12.44140625" style="1455" customWidth="1"/>
    <col min="2054" max="2054" width="0" style="1455" hidden="1" customWidth="1"/>
    <col min="2055" max="2055" width="15.33203125" style="1455" customWidth="1"/>
    <col min="2056" max="2056" width="55" style="1455" customWidth="1"/>
    <col min="2057" max="2057" width="0" style="1455" hidden="1" customWidth="1"/>
    <col min="2058" max="2058" width="65.33203125" style="1455" customWidth="1"/>
    <col min="2059" max="2059" width="22.33203125" style="1455" customWidth="1"/>
    <col min="2060" max="2060" width="22.44140625" style="1455" customWidth="1"/>
    <col min="2061" max="2061" width="22.33203125" style="1455" customWidth="1"/>
    <col min="2062" max="2062" width="23.33203125" style="1455" customWidth="1"/>
    <col min="2063" max="2063" width="21.77734375" style="1455" customWidth="1"/>
    <col min="2064" max="2064" width="9.109375" style="1455" customWidth="1"/>
    <col min="2065" max="2065" width="16.33203125" style="1455" bestFit="1" customWidth="1"/>
    <col min="2066" max="2304" width="9.109375" style="1455"/>
    <col min="2305" max="2307" width="0" style="1455" hidden="1" customWidth="1"/>
    <col min="2308" max="2308" width="16.109375" style="1455" customWidth="1"/>
    <col min="2309" max="2309" width="12.44140625" style="1455" customWidth="1"/>
    <col min="2310" max="2310" width="0" style="1455" hidden="1" customWidth="1"/>
    <col min="2311" max="2311" width="15.33203125" style="1455" customWidth="1"/>
    <col min="2312" max="2312" width="55" style="1455" customWidth="1"/>
    <col min="2313" max="2313" width="0" style="1455" hidden="1" customWidth="1"/>
    <col min="2314" max="2314" width="65.33203125" style="1455" customWidth="1"/>
    <col min="2315" max="2315" width="22.33203125" style="1455" customWidth="1"/>
    <col min="2316" max="2316" width="22.44140625" style="1455" customWidth="1"/>
    <col min="2317" max="2317" width="22.33203125" style="1455" customWidth="1"/>
    <col min="2318" max="2318" width="23.33203125" style="1455" customWidth="1"/>
    <col min="2319" max="2319" width="21.77734375" style="1455" customWidth="1"/>
    <col min="2320" max="2320" width="9.109375" style="1455" customWidth="1"/>
    <col min="2321" max="2321" width="16.33203125" style="1455" bestFit="1" customWidth="1"/>
    <col min="2322" max="2560" width="9.109375" style="1455"/>
    <col min="2561" max="2563" width="0" style="1455" hidden="1" customWidth="1"/>
    <col min="2564" max="2564" width="16.109375" style="1455" customWidth="1"/>
    <col min="2565" max="2565" width="12.44140625" style="1455" customWidth="1"/>
    <col min="2566" max="2566" width="0" style="1455" hidden="1" customWidth="1"/>
    <col min="2567" max="2567" width="15.33203125" style="1455" customWidth="1"/>
    <col min="2568" max="2568" width="55" style="1455" customWidth="1"/>
    <col min="2569" max="2569" width="0" style="1455" hidden="1" customWidth="1"/>
    <col min="2570" max="2570" width="65.33203125" style="1455" customWidth="1"/>
    <col min="2571" max="2571" width="22.33203125" style="1455" customWidth="1"/>
    <col min="2572" max="2572" width="22.44140625" style="1455" customWidth="1"/>
    <col min="2573" max="2573" width="22.33203125" style="1455" customWidth="1"/>
    <col min="2574" max="2574" width="23.33203125" style="1455" customWidth="1"/>
    <col min="2575" max="2575" width="21.77734375" style="1455" customWidth="1"/>
    <col min="2576" max="2576" width="9.109375" style="1455" customWidth="1"/>
    <col min="2577" max="2577" width="16.33203125" style="1455" bestFit="1" customWidth="1"/>
    <col min="2578" max="2816" width="9.109375" style="1455"/>
    <col min="2817" max="2819" width="0" style="1455" hidden="1" customWidth="1"/>
    <col min="2820" max="2820" width="16.109375" style="1455" customWidth="1"/>
    <col min="2821" max="2821" width="12.44140625" style="1455" customWidth="1"/>
    <col min="2822" max="2822" width="0" style="1455" hidden="1" customWidth="1"/>
    <col min="2823" max="2823" width="15.33203125" style="1455" customWidth="1"/>
    <col min="2824" max="2824" width="55" style="1455" customWidth="1"/>
    <col min="2825" max="2825" width="0" style="1455" hidden="1" customWidth="1"/>
    <col min="2826" max="2826" width="65.33203125" style="1455" customWidth="1"/>
    <col min="2827" max="2827" width="22.33203125" style="1455" customWidth="1"/>
    <col min="2828" max="2828" width="22.44140625" style="1455" customWidth="1"/>
    <col min="2829" max="2829" width="22.33203125" style="1455" customWidth="1"/>
    <col min="2830" max="2830" width="23.33203125" style="1455" customWidth="1"/>
    <col min="2831" max="2831" width="21.77734375" style="1455" customWidth="1"/>
    <col min="2832" max="2832" width="9.109375" style="1455" customWidth="1"/>
    <col min="2833" max="2833" width="16.33203125" style="1455" bestFit="1" customWidth="1"/>
    <col min="2834" max="3072" width="9.109375" style="1455"/>
    <col min="3073" max="3075" width="0" style="1455" hidden="1" customWidth="1"/>
    <col min="3076" max="3076" width="16.109375" style="1455" customWidth="1"/>
    <col min="3077" max="3077" width="12.44140625" style="1455" customWidth="1"/>
    <col min="3078" max="3078" width="0" style="1455" hidden="1" customWidth="1"/>
    <col min="3079" max="3079" width="15.33203125" style="1455" customWidth="1"/>
    <col min="3080" max="3080" width="55" style="1455" customWidth="1"/>
    <col min="3081" max="3081" width="0" style="1455" hidden="1" customWidth="1"/>
    <col min="3082" max="3082" width="65.33203125" style="1455" customWidth="1"/>
    <col min="3083" max="3083" width="22.33203125" style="1455" customWidth="1"/>
    <col min="3084" max="3084" width="22.44140625" style="1455" customWidth="1"/>
    <col min="3085" max="3085" width="22.33203125" style="1455" customWidth="1"/>
    <col min="3086" max="3086" width="23.33203125" style="1455" customWidth="1"/>
    <col min="3087" max="3087" width="21.77734375" style="1455" customWidth="1"/>
    <col min="3088" max="3088" width="9.109375" style="1455" customWidth="1"/>
    <col min="3089" max="3089" width="16.33203125" style="1455" bestFit="1" customWidth="1"/>
    <col min="3090" max="3328" width="9.109375" style="1455"/>
    <col min="3329" max="3331" width="0" style="1455" hidden="1" customWidth="1"/>
    <col min="3332" max="3332" width="16.109375" style="1455" customWidth="1"/>
    <col min="3333" max="3333" width="12.44140625" style="1455" customWidth="1"/>
    <col min="3334" max="3334" width="0" style="1455" hidden="1" customWidth="1"/>
    <col min="3335" max="3335" width="15.33203125" style="1455" customWidth="1"/>
    <col min="3336" max="3336" width="55" style="1455" customWidth="1"/>
    <col min="3337" max="3337" width="0" style="1455" hidden="1" customWidth="1"/>
    <col min="3338" max="3338" width="65.33203125" style="1455" customWidth="1"/>
    <col min="3339" max="3339" width="22.33203125" style="1455" customWidth="1"/>
    <col min="3340" max="3340" width="22.44140625" style="1455" customWidth="1"/>
    <col min="3341" max="3341" width="22.33203125" style="1455" customWidth="1"/>
    <col min="3342" max="3342" width="23.33203125" style="1455" customWidth="1"/>
    <col min="3343" max="3343" width="21.77734375" style="1455" customWidth="1"/>
    <col min="3344" max="3344" width="9.109375" style="1455" customWidth="1"/>
    <col min="3345" max="3345" width="16.33203125" style="1455" bestFit="1" customWidth="1"/>
    <col min="3346" max="3584" width="9.109375" style="1455"/>
    <col min="3585" max="3587" width="0" style="1455" hidden="1" customWidth="1"/>
    <col min="3588" max="3588" width="16.109375" style="1455" customWidth="1"/>
    <col min="3589" max="3589" width="12.44140625" style="1455" customWidth="1"/>
    <col min="3590" max="3590" width="0" style="1455" hidden="1" customWidth="1"/>
    <col min="3591" max="3591" width="15.33203125" style="1455" customWidth="1"/>
    <col min="3592" max="3592" width="55" style="1455" customWidth="1"/>
    <col min="3593" max="3593" width="0" style="1455" hidden="1" customWidth="1"/>
    <col min="3594" max="3594" width="65.33203125" style="1455" customWidth="1"/>
    <col min="3595" max="3595" width="22.33203125" style="1455" customWidth="1"/>
    <col min="3596" max="3596" width="22.44140625" style="1455" customWidth="1"/>
    <col min="3597" max="3597" width="22.33203125" style="1455" customWidth="1"/>
    <col min="3598" max="3598" width="23.33203125" style="1455" customWidth="1"/>
    <col min="3599" max="3599" width="21.77734375" style="1455" customWidth="1"/>
    <col min="3600" max="3600" width="9.109375" style="1455" customWidth="1"/>
    <col min="3601" max="3601" width="16.33203125" style="1455" bestFit="1" customWidth="1"/>
    <col min="3602" max="3840" width="9.109375" style="1455"/>
    <col min="3841" max="3843" width="0" style="1455" hidden="1" customWidth="1"/>
    <col min="3844" max="3844" width="16.109375" style="1455" customWidth="1"/>
    <col min="3845" max="3845" width="12.44140625" style="1455" customWidth="1"/>
    <col min="3846" max="3846" width="0" style="1455" hidden="1" customWidth="1"/>
    <col min="3847" max="3847" width="15.33203125" style="1455" customWidth="1"/>
    <col min="3848" max="3848" width="55" style="1455" customWidth="1"/>
    <col min="3849" max="3849" width="0" style="1455" hidden="1" customWidth="1"/>
    <col min="3850" max="3850" width="65.33203125" style="1455" customWidth="1"/>
    <col min="3851" max="3851" width="22.33203125" style="1455" customWidth="1"/>
    <col min="3852" max="3852" width="22.44140625" style="1455" customWidth="1"/>
    <col min="3853" max="3853" width="22.33203125" style="1455" customWidth="1"/>
    <col min="3854" max="3854" width="23.33203125" style="1455" customWidth="1"/>
    <col min="3855" max="3855" width="21.77734375" style="1455" customWidth="1"/>
    <col min="3856" max="3856" width="9.109375" style="1455" customWidth="1"/>
    <col min="3857" max="3857" width="16.33203125" style="1455" bestFit="1" customWidth="1"/>
    <col min="3858" max="4096" width="9.109375" style="1455"/>
    <col min="4097" max="4099" width="0" style="1455" hidden="1" customWidth="1"/>
    <col min="4100" max="4100" width="16.109375" style="1455" customWidth="1"/>
    <col min="4101" max="4101" width="12.44140625" style="1455" customWidth="1"/>
    <col min="4102" max="4102" width="0" style="1455" hidden="1" customWidth="1"/>
    <col min="4103" max="4103" width="15.33203125" style="1455" customWidth="1"/>
    <col min="4104" max="4104" width="55" style="1455" customWidth="1"/>
    <col min="4105" max="4105" width="0" style="1455" hidden="1" customWidth="1"/>
    <col min="4106" max="4106" width="65.33203125" style="1455" customWidth="1"/>
    <col min="4107" max="4107" width="22.33203125" style="1455" customWidth="1"/>
    <col min="4108" max="4108" width="22.44140625" style="1455" customWidth="1"/>
    <col min="4109" max="4109" width="22.33203125" style="1455" customWidth="1"/>
    <col min="4110" max="4110" width="23.33203125" style="1455" customWidth="1"/>
    <col min="4111" max="4111" width="21.77734375" style="1455" customWidth="1"/>
    <col min="4112" max="4112" width="9.109375" style="1455" customWidth="1"/>
    <col min="4113" max="4113" width="16.33203125" style="1455" bestFit="1" customWidth="1"/>
    <col min="4114" max="4352" width="9.109375" style="1455"/>
    <col min="4353" max="4355" width="0" style="1455" hidden="1" customWidth="1"/>
    <col min="4356" max="4356" width="16.109375" style="1455" customWidth="1"/>
    <col min="4357" max="4357" width="12.44140625" style="1455" customWidth="1"/>
    <col min="4358" max="4358" width="0" style="1455" hidden="1" customWidth="1"/>
    <col min="4359" max="4359" width="15.33203125" style="1455" customWidth="1"/>
    <col min="4360" max="4360" width="55" style="1455" customWidth="1"/>
    <col min="4361" max="4361" width="0" style="1455" hidden="1" customWidth="1"/>
    <col min="4362" max="4362" width="65.33203125" style="1455" customWidth="1"/>
    <col min="4363" max="4363" width="22.33203125" style="1455" customWidth="1"/>
    <col min="4364" max="4364" width="22.44140625" style="1455" customWidth="1"/>
    <col min="4365" max="4365" width="22.33203125" style="1455" customWidth="1"/>
    <col min="4366" max="4366" width="23.33203125" style="1455" customWidth="1"/>
    <col min="4367" max="4367" width="21.77734375" style="1455" customWidth="1"/>
    <col min="4368" max="4368" width="9.109375" style="1455" customWidth="1"/>
    <col min="4369" max="4369" width="16.33203125" style="1455" bestFit="1" customWidth="1"/>
    <col min="4370" max="4608" width="9.109375" style="1455"/>
    <col min="4609" max="4611" width="0" style="1455" hidden="1" customWidth="1"/>
    <col min="4612" max="4612" width="16.109375" style="1455" customWidth="1"/>
    <col min="4613" max="4613" width="12.44140625" style="1455" customWidth="1"/>
    <col min="4614" max="4614" width="0" style="1455" hidden="1" customWidth="1"/>
    <col min="4615" max="4615" width="15.33203125" style="1455" customWidth="1"/>
    <col min="4616" max="4616" width="55" style="1455" customWidth="1"/>
    <col min="4617" max="4617" width="0" style="1455" hidden="1" customWidth="1"/>
    <col min="4618" max="4618" width="65.33203125" style="1455" customWidth="1"/>
    <col min="4619" max="4619" width="22.33203125" style="1455" customWidth="1"/>
    <col min="4620" max="4620" width="22.44140625" style="1455" customWidth="1"/>
    <col min="4621" max="4621" width="22.33203125" style="1455" customWidth="1"/>
    <col min="4622" max="4622" width="23.33203125" style="1455" customWidth="1"/>
    <col min="4623" max="4623" width="21.77734375" style="1455" customWidth="1"/>
    <col min="4624" max="4624" width="9.109375" style="1455" customWidth="1"/>
    <col min="4625" max="4625" width="16.33203125" style="1455" bestFit="1" customWidth="1"/>
    <col min="4626" max="4864" width="9.109375" style="1455"/>
    <col min="4865" max="4867" width="0" style="1455" hidden="1" customWidth="1"/>
    <col min="4868" max="4868" width="16.109375" style="1455" customWidth="1"/>
    <col min="4869" max="4869" width="12.44140625" style="1455" customWidth="1"/>
    <col min="4870" max="4870" width="0" style="1455" hidden="1" customWidth="1"/>
    <col min="4871" max="4871" width="15.33203125" style="1455" customWidth="1"/>
    <col min="4872" max="4872" width="55" style="1455" customWidth="1"/>
    <col min="4873" max="4873" width="0" style="1455" hidden="1" customWidth="1"/>
    <col min="4874" max="4874" width="65.33203125" style="1455" customWidth="1"/>
    <col min="4875" max="4875" width="22.33203125" style="1455" customWidth="1"/>
    <col min="4876" max="4876" width="22.44140625" style="1455" customWidth="1"/>
    <col min="4877" max="4877" width="22.33203125" style="1455" customWidth="1"/>
    <col min="4878" max="4878" width="23.33203125" style="1455" customWidth="1"/>
    <col min="4879" max="4879" width="21.77734375" style="1455" customWidth="1"/>
    <col min="4880" max="4880" width="9.109375" style="1455" customWidth="1"/>
    <col min="4881" max="4881" width="16.33203125" style="1455" bestFit="1" customWidth="1"/>
    <col min="4882" max="5120" width="9.109375" style="1455"/>
    <col min="5121" max="5123" width="0" style="1455" hidden="1" customWidth="1"/>
    <col min="5124" max="5124" width="16.109375" style="1455" customWidth="1"/>
    <col min="5125" max="5125" width="12.44140625" style="1455" customWidth="1"/>
    <col min="5126" max="5126" width="0" style="1455" hidden="1" customWidth="1"/>
    <col min="5127" max="5127" width="15.33203125" style="1455" customWidth="1"/>
    <col min="5128" max="5128" width="55" style="1455" customWidth="1"/>
    <col min="5129" max="5129" width="0" style="1455" hidden="1" customWidth="1"/>
    <col min="5130" max="5130" width="65.33203125" style="1455" customWidth="1"/>
    <col min="5131" max="5131" width="22.33203125" style="1455" customWidth="1"/>
    <col min="5132" max="5132" width="22.44140625" style="1455" customWidth="1"/>
    <col min="5133" max="5133" width="22.33203125" style="1455" customWidth="1"/>
    <col min="5134" max="5134" width="23.33203125" style="1455" customWidth="1"/>
    <col min="5135" max="5135" width="21.77734375" style="1455" customWidth="1"/>
    <col min="5136" max="5136" width="9.109375" style="1455" customWidth="1"/>
    <col min="5137" max="5137" width="16.33203125" style="1455" bestFit="1" customWidth="1"/>
    <col min="5138" max="5376" width="9.109375" style="1455"/>
    <col min="5377" max="5379" width="0" style="1455" hidden="1" customWidth="1"/>
    <col min="5380" max="5380" width="16.109375" style="1455" customWidth="1"/>
    <col min="5381" max="5381" width="12.44140625" style="1455" customWidth="1"/>
    <col min="5382" max="5382" width="0" style="1455" hidden="1" customWidth="1"/>
    <col min="5383" max="5383" width="15.33203125" style="1455" customWidth="1"/>
    <col min="5384" max="5384" width="55" style="1455" customWidth="1"/>
    <col min="5385" max="5385" width="0" style="1455" hidden="1" customWidth="1"/>
    <col min="5386" max="5386" width="65.33203125" style="1455" customWidth="1"/>
    <col min="5387" max="5387" width="22.33203125" style="1455" customWidth="1"/>
    <col min="5388" max="5388" width="22.44140625" style="1455" customWidth="1"/>
    <col min="5389" max="5389" width="22.33203125" style="1455" customWidth="1"/>
    <col min="5390" max="5390" width="23.33203125" style="1455" customWidth="1"/>
    <col min="5391" max="5391" width="21.77734375" style="1455" customWidth="1"/>
    <col min="5392" max="5392" width="9.109375" style="1455" customWidth="1"/>
    <col min="5393" max="5393" width="16.33203125" style="1455" bestFit="1" customWidth="1"/>
    <col min="5394" max="5632" width="9.109375" style="1455"/>
    <col min="5633" max="5635" width="0" style="1455" hidden="1" customWidth="1"/>
    <col min="5636" max="5636" width="16.109375" style="1455" customWidth="1"/>
    <col min="5637" max="5637" width="12.44140625" style="1455" customWidth="1"/>
    <col min="5638" max="5638" width="0" style="1455" hidden="1" customWidth="1"/>
    <col min="5639" max="5639" width="15.33203125" style="1455" customWidth="1"/>
    <col min="5640" max="5640" width="55" style="1455" customWidth="1"/>
    <col min="5641" max="5641" width="0" style="1455" hidden="1" customWidth="1"/>
    <col min="5642" max="5642" width="65.33203125" style="1455" customWidth="1"/>
    <col min="5643" max="5643" width="22.33203125" style="1455" customWidth="1"/>
    <col min="5644" max="5644" width="22.44140625" style="1455" customWidth="1"/>
    <col min="5645" max="5645" width="22.33203125" style="1455" customWidth="1"/>
    <col min="5646" max="5646" width="23.33203125" style="1455" customWidth="1"/>
    <col min="5647" max="5647" width="21.77734375" style="1455" customWidth="1"/>
    <col min="5648" max="5648" width="9.109375" style="1455" customWidth="1"/>
    <col min="5649" max="5649" width="16.33203125" style="1455" bestFit="1" customWidth="1"/>
    <col min="5650" max="5888" width="9.109375" style="1455"/>
    <col min="5889" max="5891" width="0" style="1455" hidden="1" customWidth="1"/>
    <col min="5892" max="5892" width="16.109375" style="1455" customWidth="1"/>
    <col min="5893" max="5893" width="12.44140625" style="1455" customWidth="1"/>
    <col min="5894" max="5894" width="0" style="1455" hidden="1" customWidth="1"/>
    <col min="5895" max="5895" width="15.33203125" style="1455" customWidth="1"/>
    <col min="5896" max="5896" width="55" style="1455" customWidth="1"/>
    <col min="5897" max="5897" width="0" style="1455" hidden="1" customWidth="1"/>
    <col min="5898" max="5898" width="65.33203125" style="1455" customWidth="1"/>
    <col min="5899" max="5899" width="22.33203125" style="1455" customWidth="1"/>
    <col min="5900" max="5900" width="22.44140625" style="1455" customWidth="1"/>
    <col min="5901" max="5901" width="22.33203125" style="1455" customWidth="1"/>
    <col min="5902" max="5902" width="23.33203125" style="1455" customWidth="1"/>
    <col min="5903" max="5903" width="21.77734375" style="1455" customWidth="1"/>
    <col min="5904" max="5904" width="9.109375" style="1455" customWidth="1"/>
    <col min="5905" max="5905" width="16.33203125" style="1455" bestFit="1" customWidth="1"/>
    <col min="5906" max="6144" width="9.109375" style="1455"/>
    <col min="6145" max="6147" width="0" style="1455" hidden="1" customWidth="1"/>
    <col min="6148" max="6148" width="16.109375" style="1455" customWidth="1"/>
    <col min="6149" max="6149" width="12.44140625" style="1455" customWidth="1"/>
    <col min="6150" max="6150" width="0" style="1455" hidden="1" customWidth="1"/>
    <col min="6151" max="6151" width="15.33203125" style="1455" customWidth="1"/>
    <col min="6152" max="6152" width="55" style="1455" customWidth="1"/>
    <col min="6153" max="6153" width="0" style="1455" hidden="1" customWidth="1"/>
    <col min="6154" max="6154" width="65.33203125" style="1455" customWidth="1"/>
    <col min="6155" max="6155" width="22.33203125" style="1455" customWidth="1"/>
    <col min="6156" max="6156" width="22.44140625" style="1455" customWidth="1"/>
    <col min="6157" max="6157" width="22.33203125" style="1455" customWidth="1"/>
    <col min="6158" max="6158" width="23.33203125" style="1455" customWidth="1"/>
    <col min="6159" max="6159" width="21.77734375" style="1455" customWidth="1"/>
    <col min="6160" max="6160" width="9.109375" style="1455" customWidth="1"/>
    <col min="6161" max="6161" width="16.33203125" style="1455" bestFit="1" customWidth="1"/>
    <col min="6162" max="6400" width="9.109375" style="1455"/>
    <col min="6401" max="6403" width="0" style="1455" hidden="1" customWidth="1"/>
    <col min="6404" max="6404" width="16.109375" style="1455" customWidth="1"/>
    <col min="6405" max="6405" width="12.44140625" style="1455" customWidth="1"/>
    <col min="6406" max="6406" width="0" style="1455" hidden="1" customWidth="1"/>
    <col min="6407" max="6407" width="15.33203125" style="1455" customWidth="1"/>
    <col min="6408" max="6408" width="55" style="1455" customWidth="1"/>
    <col min="6409" max="6409" width="0" style="1455" hidden="1" customWidth="1"/>
    <col min="6410" max="6410" width="65.33203125" style="1455" customWidth="1"/>
    <col min="6411" max="6411" width="22.33203125" style="1455" customWidth="1"/>
    <col min="6412" max="6412" width="22.44140625" style="1455" customWidth="1"/>
    <col min="6413" max="6413" width="22.33203125" style="1455" customWidth="1"/>
    <col min="6414" max="6414" width="23.33203125" style="1455" customWidth="1"/>
    <col min="6415" max="6415" width="21.77734375" style="1455" customWidth="1"/>
    <col min="6416" max="6416" width="9.109375" style="1455" customWidth="1"/>
    <col min="6417" max="6417" width="16.33203125" style="1455" bestFit="1" customWidth="1"/>
    <col min="6418" max="6656" width="9.109375" style="1455"/>
    <col min="6657" max="6659" width="0" style="1455" hidden="1" customWidth="1"/>
    <col min="6660" max="6660" width="16.109375" style="1455" customWidth="1"/>
    <col min="6661" max="6661" width="12.44140625" style="1455" customWidth="1"/>
    <col min="6662" max="6662" width="0" style="1455" hidden="1" customWidth="1"/>
    <col min="6663" max="6663" width="15.33203125" style="1455" customWidth="1"/>
    <col min="6664" max="6664" width="55" style="1455" customWidth="1"/>
    <col min="6665" max="6665" width="0" style="1455" hidden="1" customWidth="1"/>
    <col min="6666" max="6666" width="65.33203125" style="1455" customWidth="1"/>
    <col min="6667" max="6667" width="22.33203125" style="1455" customWidth="1"/>
    <col min="6668" max="6668" width="22.44140625" style="1455" customWidth="1"/>
    <col min="6669" max="6669" width="22.33203125" style="1455" customWidth="1"/>
    <col min="6670" max="6670" width="23.33203125" style="1455" customWidth="1"/>
    <col min="6671" max="6671" width="21.77734375" style="1455" customWidth="1"/>
    <col min="6672" max="6672" width="9.109375" style="1455" customWidth="1"/>
    <col min="6673" max="6673" width="16.33203125" style="1455" bestFit="1" customWidth="1"/>
    <col min="6674" max="6912" width="9.109375" style="1455"/>
    <col min="6913" max="6915" width="0" style="1455" hidden="1" customWidth="1"/>
    <col min="6916" max="6916" width="16.109375" style="1455" customWidth="1"/>
    <col min="6917" max="6917" width="12.44140625" style="1455" customWidth="1"/>
    <col min="6918" max="6918" width="0" style="1455" hidden="1" customWidth="1"/>
    <col min="6919" max="6919" width="15.33203125" style="1455" customWidth="1"/>
    <col min="6920" max="6920" width="55" style="1455" customWidth="1"/>
    <col min="6921" max="6921" width="0" style="1455" hidden="1" customWidth="1"/>
    <col min="6922" max="6922" width="65.33203125" style="1455" customWidth="1"/>
    <col min="6923" max="6923" width="22.33203125" style="1455" customWidth="1"/>
    <col min="6924" max="6924" width="22.44140625" style="1455" customWidth="1"/>
    <col min="6925" max="6925" width="22.33203125" style="1455" customWidth="1"/>
    <col min="6926" max="6926" width="23.33203125" style="1455" customWidth="1"/>
    <col min="6927" max="6927" width="21.77734375" style="1455" customWidth="1"/>
    <col min="6928" max="6928" width="9.109375" style="1455" customWidth="1"/>
    <col min="6929" max="6929" width="16.33203125" style="1455" bestFit="1" customWidth="1"/>
    <col min="6930" max="7168" width="9.109375" style="1455"/>
    <col min="7169" max="7171" width="0" style="1455" hidden="1" customWidth="1"/>
    <col min="7172" max="7172" width="16.109375" style="1455" customWidth="1"/>
    <col min="7173" max="7173" width="12.44140625" style="1455" customWidth="1"/>
    <col min="7174" max="7174" width="0" style="1455" hidden="1" customWidth="1"/>
    <col min="7175" max="7175" width="15.33203125" style="1455" customWidth="1"/>
    <col min="7176" max="7176" width="55" style="1455" customWidth="1"/>
    <col min="7177" max="7177" width="0" style="1455" hidden="1" customWidth="1"/>
    <col min="7178" max="7178" width="65.33203125" style="1455" customWidth="1"/>
    <col min="7179" max="7179" width="22.33203125" style="1455" customWidth="1"/>
    <col min="7180" max="7180" width="22.44140625" style="1455" customWidth="1"/>
    <col min="7181" max="7181" width="22.33203125" style="1455" customWidth="1"/>
    <col min="7182" max="7182" width="23.33203125" style="1455" customWidth="1"/>
    <col min="7183" max="7183" width="21.77734375" style="1455" customWidth="1"/>
    <col min="7184" max="7184" width="9.109375" style="1455" customWidth="1"/>
    <col min="7185" max="7185" width="16.33203125" style="1455" bestFit="1" customWidth="1"/>
    <col min="7186" max="7424" width="9.109375" style="1455"/>
    <col min="7425" max="7427" width="0" style="1455" hidden="1" customWidth="1"/>
    <col min="7428" max="7428" width="16.109375" style="1455" customWidth="1"/>
    <col min="7429" max="7429" width="12.44140625" style="1455" customWidth="1"/>
    <col min="7430" max="7430" width="0" style="1455" hidden="1" customWidth="1"/>
    <col min="7431" max="7431" width="15.33203125" style="1455" customWidth="1"/>
    <col min="7432" max="7432" width="55" style="1455" customWidth="1"/>
    <col min="7433" max="7433" width="0" style="1455" hidden="1" customWidth="1"/>
    <col min="7434" max="7434" width="65.33203125" style="1455" customWidth="1"/>
    <col min="7435" max="7435" width="22.33203125" style="1455" customWidth="1"/>
    <col min="7436" max="7436" width="22.44140625" style="1455" customWidth="1"/>
    <col min="7437" max="7437" width="22.33203125" style="1455" customWidth="1"/>
    <col min="7438" max="7438" width="23.33203125" style="1455" customWidth="1"/>
    <col min="7439" max="7439" width="21.77734375" style="1455" customWidth="1"/>
    <col min="7440" max="7440" width="9.109375" style="1455" customWidth="1"/>
    <col min="7441" max="7441" width="16.33203125" style="1455" bestFit="1" customWidth="1"/>
    <col min="7442" max="7680" width="9.109375" style="1455"/>
    <col min="7681" max="7683" width="0" style="1455" hidden="1" customWidth="1"/>
    <col min="7684" max="7684" width="16.109375" style="1455" customWidth="1"/>
    <col min="7685" max="7685" width="12.44140625" style="1455" customWidth="1"/>
    <col min="7686" max="7686" width="0" style="1455" hidden="1" customWidth="1"/>
    <col min="7687" max="7687" width="15.33203125" style="1455" customWidth="1"/>
    <col min="7688" max="7688" width="55" style="1455" customWidth="1"/>
    <col min="7689" max="7689" width="0" style="1455" hidden="1" customWidth="1"/>
    <col min="7690" max="7690" width="65.33203125" style="1455" customWidth="1"/>
    <col min="7691" max="7691" width="22.33203125" style="1455" customWidth="1"/>
    <col min="7692" max="7692" width="22.44140625" style="1455" customWidth="1"/>
    <col min="7693" max="7693" width="22.33203125" style="1455" customWidth="1"/>
    <col min="7694" max="7694" width="23.33203125" style="1455" customWidth="1"/>
    <col min="7695" max="7695" width="21.77734375" style="1455" customWidth="1"/>
    <col min="7696" max="7696" width="9.109375" style="1455" customWidth="1"/>
    <col min="7697" max="7697" width="16.33203125" style="1455" bestFit="1" customWidth="1"/>
    <col min="7698" max="7936" width="9.109375" style="1455"/>
    <col min="7937" max="7939" width="0" style="1455" hidden="1" customWidth="1"/>
    <col min="7940" max="7940" width="16.109375" style="1455" customWidth="1"/>
    <col min="7941" max="7941" width="12.44140625" style="1455" customWidth="1"/>
    <col min="7942" max="7942" width="0" style="1455" hidden="1" customWidth="1"/>
    <col min="7943" max="7943" width="15.33203125" style="1455" customWidth="1"/>
    <col min="7944" max="7944" width="55" style="1455" customWidth="1"/>
    <col min="7945" max="7945" width="0" style="1455" hidden="1" customWidth="1"/>
    <col min="7946" max="7946" width="65.33203125" style="1455" customWidth="1"/>
    <col min="7947" max="7947" width="22.33203125" style="1455" customWidth="1"/>
    <col min="7948" max="7948" width="22.44140625" style="1455" customWidth="1"/>
    <col min="7949" max="7949" width="22.33203125" style="1455" customWidth="1"/>
    <col min="7950" max="7950" width="23.33203125" style="1455" customWidth="1"/>
    <col min="7951" max="7951" width="21.77734375" style="1455" customWidth="1"/>
    <col min="7952" max="7952" width="9.109375" style="1455" customWidth="1"/>
    <col min="7953" max="7953" width="16.33203125" style="1455" bestFit="1" customWidth="1"/>
    <col min="7954" max="8192" width="9.109375" style="1455"/>
    <col min="8193" max="8195" width="0" style="1455" hidden="1" customWidth="1"/>
    <col min="8196" max="8196" width="16.109375" style="1455" customWidth="1"/>
    <col min="8197" max="8197" width="12.44140625" style="1455" customWidth="1"/>
    <col min="8198" max="8198" width="0" style="1455" hidden="1" customWidth="1"/>
    <col min="8199" max="8199" width="15.33203125" style="1455" customWidth="1"/>
    <col min="8200" max="8200" width="55" style="1455" customWidth="1"/>
    <col min="8201" max="8201" width="0" style="1455" hidden="1" customWidth="1"/>
    <col min="8202" max="8202" width="65.33203125" style="1455" customWidth="1"/>
    <col min="8203" max="8203" width="22.33203125" style="1455" customWidth="1"/>
    <col min="8204" max="8204" width="22.44140625" style="1455" customWidth="1"/>
    <col min="8205" max="8205" width="22.33203125" style="1455" customWidth="1"/>
    <col min="8206" max="8206" width="23.33203125" style="1455" customWidth="1"/>
    <col min="8207" max="8207" width="21.77734375" style="1455" customWidth="1"/>
    <col min="8208" max="8208" width="9.109375" style="1455" customWidth="1"/>
    <col min="8209" max="8209" width="16.33203125" style="1455" bestFit="1" customWidth="1"/>
    <col min="8210" max="8448" width="9.109375" style="1455"/>
    <col min="8449" max="8451" width="0" style="1455" hidden="1" customWidth="1"/>
    <col min="8452" max="8452" width="16.109375" style="1455" customWidth="1"/>
    <col min="8453" max="8453" width="12.44140625" style="1455" customWidth="1"/>
    <col min="8454" max="8454" width="0" style="1455" hidden="1" customWidth="1"/>
    <col min="8455" max="8455" width="15.33203125" style="1455" customWidth="1"/>
    <col min="8456" max="8456" width="55" style="1455" customWidth="1"/>
    <col min="8457" max="8457" width="0" style="1455" hidden="1" customWidth="1"/>
    <col min="8458" max="8458" width="65.33203125" style="1455" customWidth="1"/>
    <col min="8459" max="8459" width="22.33203125" style="1455" customWidth="1"/>
    <col min="8460" max="8460" width="22.44140625" style="1455" customWidth="1"/>
    <col min="8461" max="8461" width="22.33203125" style="1455" customWidth="1"/>
    <col min="8462" max="8462" width="23.33203125" style="1455" customWidth="1"/>
    <col min="8463" max="8463" width="21.77734375" style="1455" customWidth="1"/>
    <col min="8464" max="8464" width="9.109375" style="1455" customWidth="1"/>
    <col min="8465" max="8465" width="16.33203125" style="1455" bestFit="1" customWidth="1"/>
    <col min="8466" max="8704" width="9.109375" style="1455"/>
    <col min="8705" max="8707" width="0" style="1455" hidden="1" customWidth="1"/>
    <col min="8708" max="8708" width="16.109375" style="1455" customWidth="1"/>
    <col min="8709" max="8709" width="12.44140625" style="1455" customWidth="1"/>
    <col min="8710" max="8710" width="0" style="1455" hidden="1" customWidth="1"/>
    <col min="8711" max="8711" width="15.33203125" style="1455" customWidth="1"/>
    <col min="8712" max="8712" width="55" style="1455" customWidth="1"/>
    <col min="8713" max="8713" width="0" style="1455" hidden="1" customWidth="1"/>
    <col min="8714" max="8714" width="65.33203125" style="1455" customWidth="1"/>
    <col min="8715" max="8715" width="22.33203125" style="1455" customWidth="1"/>
    <col min="8716" max="8716" width="22.44140625" style="1455" customWidth="1"/>
    <col min="8717" max="8717" width="22.33203125" style="1455" customWidth="1"/>
    <col min="8718" max="8718" width="23.33203125" style="1455" customWidth="1"/>
    <col min="8719" max="8719" width="21.77734375" style="1455" customWidth="1"/>
    <col min="8720" max="8720" width="9.109375" style="1455" customWidth="1"/>
    <col min="8721" max="8721" width="16.33203125" style="1455" bestFit="1" customWidth="1"/>
    <col min="8722" max="8960" width="9.109375" style="1455"/>
    <col min="8961" max="8963" width="0" style="1455" hidden="1" customWidth="1"/>
    <col min="8964" max="8964" width="16.109375" style="1455" customWidth="1"/>
    <col min="8965" max="8965" width="12.44140625" style="1455" customWidth="1"/>
    <col min="8966" max="8966" width="0" style="1455" hidden="1" customWidth="1"/>
    <col min="8967" max="8967" width="15.33203125" style="1455" customWidth="1"/>
    <col min="8968" max="8968" width="55" style="1455" customWidth="1"/>
    <col min="8969" max="8969" width="0" style="1455" hidden="1" customWidth="1"/>
    <col min="8970" max="8970" width="65.33203125" style="1455" customWidth="1"/>
    <col min="8971" max="8971" width="22.33203125" style="1455" customWidth="1"/>
    <col min="8972" max="8972" width="22.44140625" style="1455" customWidth="1"/>
    <col min="8973" max="8973" width="22.33203125" style="1455" customWidth="1"/>
    <col min="8974" max="8974" width="23.33203125" style="1455" customWidth="1"/>
    <col min="8975" max="8975" width="21.77734375" style="1455" customWidth="1"/>
    <col min="8976" max="8976" width="9.109375" style="1455" customWidth="1"/>
    <col min="8977" max="8977" width="16.33203125" style="1455" bestFit="1" customWidth="1"/>
    <col min="8978" max="9216" width="9.109375" style="1455"/>
    <col min="9217" max="9219" width="0" style="1455" hidden="1" customWidth="1"/>
    <col min="9220" max="9220" width="16.109375" style="1455" customWidth="1"/>
    <col min="9221" max="9221" width="12.44140625" style="1455" customWidth="1"/>
    <col min="9222" max="9222" width="0" style="1455" hidden="1" customWidth="1"/>
    <col min="9223" max="9223" width="15.33203125" style="1455" customWidth="1"/>
    <col min="9224" max="9224" width="55" style="1455" customWidth="1"/>
    <col min="9225" max="9225" width="0" style="1455" hidden="1" customWidth="1"/>
    <col min="9226" max="9226" width="65.33203125" style="1455" customWidth="1"/>
    <col min="9227" max="9227" width="22.33203125" style="1455" customWidth="1"/>
    <col min="9228" max="9228" width="22.44140625" style="1455" customWidth="1"/>
    <col min="9229" max="9229" width="22.33203125" style="1455" customWidth="1"/>
    <col min="9230" max="9230" width="23.33203125" style="1455" customWidth="1"/>
    <col min="9231" max="9231" width="21.77734375" style="1455" customWidth="1"/>
    <col min="9232" max="9232" width="9.109375" style="1455" customWidth="1"/>
    <col min="9233" max="9233" width="16.33203125" style="1455" bestFit="1" customWidth="1"/>
    <col min="9234" max="9472" width="9.109375" style="1455"/>
    <col min="9473" max="9475" width="0" style="1455" hidden="1" customWidth="1"/>
    <col min="9476" max="9476" width="16.109375" style="1455" customWidth="1"/>
    <col min="9477" max="9477" width="12.44140625" style="1455" customWidth="1"/>
    <col min="9478" max="9478" width="0" style="1455" hidden="1" customWidth="1"/>
    <col min="9479" max="9479" width="15.33203125" style="1455" customWidth="1"/>
    <col min="9480" max="9480" width="55" style="1455" customWidth="1"/>
    <col min="9481" max="9481" width="0" style="1455" hidden="1" customWidth="1"/>
    <col min="9482" max="9482" width="65.33203125" style="1455" customWidth="1"/>
    <col min="9483" max="9483" width="22.33203125" style="1455" customWidth="1"/>
    <col min="9484" max="9484" width="22.44140625" style="1455" customWidth="1"/>
    <col min="9485" max="9485" width="22.33203125" style="1455" customWidth="1"/>
    <col min="9486" max="9486" width="23.33203125" style="1455" customWidth="1"/>
    <col min="9487" max="9487" width="21.77734375" style="1455" customWidth="1"/>
    <col min="9488" max="9488" width="9.109375" style="1455" customWidth="1"/>
    <col min="9489" max="9489" width="16.33203125" style="1455" bestFit="1" customWidth="1"/>
    <col min="9490" max="9728" width="9.109375" style="1455"/>
    <col min="9729" max="9731" width="0" style="1455" hidden="1" customWidth="1"/>
    <col min="9732" max="9732" width="16.109375" style="1455" customWidth="1"/>
    <col min="9733" max="9733" width="12.44140625" style="1455" customWidth="1"/>
    <col min="9734" max="9734" width="0" style="1455" hidden="1" customWidth="1"/>
    <col min="9735" max="9735" width="15.33203125" style="1455" customWidth="1"/>
    <col min="9736" max="9736" width="55" style="1455" customWidth="1"/>
    <col min="9737" max="9737" width="0" style="1455" hidden="1" customWidth="1"/>
    <col min="9738" max="9738" width="65.33203125" style="1455" customWidth="1"/>
    <col min="9739" max="9739" width="22.33203125" style="1455" customWidth="1"/>
    <col min="9740" max="9740" width="22.44140625" style="1455" customWidth="1"/>
    <col min="9741" max="9741" width="22.33203125" style="1455" customWidth="1"/>
    <col min="9742" max="9742" width="23.33203125" style="1455" customWidth="1"/>
    <col min="9743" max="9743" width="21.77734375" style="1455" customWidth="1"/>
    <col min="9744" max="9744" width="9.109375" style="1455" customWidth="1"/>
    <col min="9745" max="9745" width="16.33203125" style="1455" bestFit="1" customWidth="1"/>
    <col min="9746" max="9984" width="9.109375" style="1455"/>
    <col min="9985" max="9987" width="0" style="1455" hidden="1" customWidth="1"/>
    <col min="9988" max="9988" width="16.109375" style="1455" customWidth="1"/>
    <col min="9989" max="9989" width="12.44140625" style="1455" customWidth="1"/>
    <col min="9990" max="9990" width="0" style="1455" hidden="1" customWidth="1"/>
    <col min="9991" max="9991" width="15.33203125" style="1455" customWidth="1"/>
    <col min="9992" max="9992" width="55" style="1455" customWidth="1"/>
    <col min="9993" max="9993" width="0" style="1455" hidden="1" customWidth="1"/>
    <col min="9994" max="9994" width="65.33203125" style="1455" customWidth="1"/>
    <col min="9995" max="9995" width="22.33203125" style="1455" customWidth="1"/>
    <col min="9996" max="9996" width="22.44140625" style="1455" customWidth="1"/>
    <col min="9997" max="9997" width="22.33203125" style="1455" customWidth="1"/>
    <col min="9998" max="9998" width="23.33203125" style="1455" customWidth="1"/>
    <col min="9999" max="9999" width="21.77734375" style="1455" customWidth="1"/>
    <col min="10000" max="10000" width="9.109375" style="1455" customWidth="1"/>
    <col min="10001" max="10001" width="16.33203125" style="1455" bestFit="1" customWidth="1"/>
    <col min="10002" max="10240" width="9.109375" style="1455"/>
    <col min="10241" max="10243" width="0" style="1455" hidden="1" customWidth="1"/>
    <col min="10244" max="10244" width="16.109375" style="1455" customWidth="1"/>
    <col min="10245" max="10245" width="12.44140625" style="1455" customWidth="1"/>
    <col min="10246" max="10246" width="0" style="1455" hidden="1" customWidth="1"/>
    <col min="10247" max="10247" width="15.33203125" style="1455" customWidth="1"/>
    <col min="10248" max="10248" width="55" style="1455" customWidth="1"/>
    <col min="10249" max="10249" width="0" style="1455" hidden="1" customWidth="1"/>
    <col min="10250" max="10250" width="65.33203125" style="1455" customWidth="1"/>
    <col min="10251" max="10251" width="22.33203125" style="1455" customWidth="1"/>
    <col min="10252" max="10252" width="22.44140625" style="1455" customWidth="1"/>
    <col min="10253" max="10253" width="22.33203125" style="1455" customWidth="1"/>
    <col min="10254" max="10254" width="23.33203125" style="1455" customWidth="1"/>
    <col min="10255" max="10255" width="21.77734375" style="1455" customWidth="1"/>
    <col min="10256" max="10256" width="9.109375" style="1455" customWidth="1"/>
    <col min="10257" max="10257" width="16.33203125" style="1455" bestFit="1" customWidth="1"/>
    <col min="10258" max="10496" width="9.109375" style="1455"/>
    <col min="10497" max="10499" width="0" style="1455" hidden="1" customWidth="1"/>
    <col min="10500" max="10500" width="16.109375" style="1455" customWidth="1"/>
    <col min="10501" max="10501" width="12.44140625" style="1455" customWidth="1"/>
    <col min="10502" max="10502" width="0" style="1455" hidden="1" customWidth="1"/>
    <col min="10503" max="10503" width="15.33203125" style="1455" customWidth="1"/>
    <col min="10504" max="10504" width="55" style="1455" customWidth="1"/>
    <col min="10505" max="10505" width="0" style="1455" hidden="1" customWidth="1"/>
    <col min="10506" max="10506" width="65.33203125" style="1455" customWidth="1"/>
    <col min="10507" max="10507" width="22.33203125" style="1455" customWidth="1"/>
    <col min="10508" max="10508" width="22.44140625" style="1455" customWidth="1"/>
    <col min="10509" max="10509" width="22.33203125" style="1455" customWidth="1"/>
    <col min="10510" max="10510" width="23.33203125" style="1455" customWidth="1"/>
    <col min="10511" max="10511" width="21.77734375" style="1455" customWidth="1"/>
    <col min="10512" max="10512" width="9.109375" style="1455" customWidth="1"/>
    <col min="10513" max="10513" width="16.33203125" style="1455" bestFit="1" customWidth="1"/>
    <col min="10514" max="10752" width="9.109375" style="1455"/>
    <col min="10753" max="10755" width="0" style="1455" hidden="1" customWidth="1"/>
    <col min="10756" max="10756" width="16.109375" style="1455" customWidth="1"/>
    <col min="10757" max="10757" width="12.44140625" style="1455" customWidth="1"/>
    <col min="10758" max="10758" width="0" style="1455" hidden="1" customWidth="1"/>
    <col min="10759" max="10759" width="15.33203125" style="1455" customWidth="1"/>
    <col min="10760" max="10760" width="55" style="1455" customWidth="1"/>
    <col min="10761" max="10761" width="0" style="1455" hidden="1" customWidth="1"/>
    <col min="10762" max="10762" width="65.33203125" style="1455" customWidth="1"/>
    <col min="10763" max="10763" width="22.33203125" style="1455" customWidth="1"/>
    <col min="10764" max="10764" width="22.44140625" style="1455" customWidth="1"/>
    <col min="10765" max="10765" width="22.33203125" style="1455" customWidth="1"/>
    <col min="10766" max="10766" width="23.33203125" style="1455" customWidth="1"/>
    <col min="10767" max="10767" width="21.77734375" style="1455" customWidth="1"/>
    <col min="10768" max="10768" width="9.109375" style="1455" customWidth="1"/>
    <col min="10769" max="10769" width="16.33203125" style="1455" bestFit="1" customWidth="1"/>
    <col min="10770" max="11008" width="9.109375" style="1455"/>
    <col min="11009" max="11011" width="0" style="1455" hidden="1" customWidth="1"/>
    <col min="11012" max="11012" width="16.109375" style="1455" customWidth="1"/>
    <col min="11013" max="11013" width="12.44140625" style="1455" customWidth="1"/>
    <col min="11014" max="11014" width="0" style="1455" hidden="1" customWidth="1"/>
    <col min="11015" max="11015" width="15.33203125" style="1455" customWidth="1"/>
    <col min="11016" max="11016" width="55" style="1455" customWidth="1"/>
    <col min="11017" max="11017" width="0" style="1455" hidden="1" customWidth="1"/>
    <col min="11018" max="11018" width="65.33203125" style="1455" customWidth="1"/>
    <col min="11019" max="11019" width="22.33203125" style="1455" customWidth="1"/>
    <col min="11020" max="11020" width="22.44140625" style="1455" customWidth="1"/>
    <col min="11021" max="11021" width="22.33203125" style="1455" customWidth="1"/>
    <col min="11022" max="11022" width="23.33203125" style="1455" customWidth="1"/>
    <col min="11023" max="11023" width="21.77734375" style="1455" customWidth="1"/>
    <col min="11024" max="11024" width="9.109375" style="1455" customWidth="1"/>
    <col min="11025" max="11025" width="16.33203125" style="1455" bestFit="1" customWidth="1"/>
    <col min="11026" max="11264" width="9.109375" style="1455"/>
    <col min="11265" max="11267" width="0" style="1455" hidden="1" customWidth="1"/>
    <col min="11268" max="11268" width="16.109375" style="1455" customWidth="1"/>
    <col min="11269" max="11269" width="12.44140625" style="1455" customWidth="1"/>
    <col min="11270" max="11270" width="0" style="1455" hidden="1" customWidth="1"/>
    <col min="11271" max="11271" width="15.33203125" style="1455" customWidth="1"/>
    <col min="11272" max="11272" width="55" style="1455" customWidth="1"/>
    <col min="11273" max="11273" width="0" style="1455" hidden="1" customWidth="1"/>
    <col min="11274" max="11274" width="65.33203125" style="1455" customWidth="1"/>
    <col min="11275" max="11275" width="22.33203125" style="1455" customWidth="1"/>
    <col min="11276" max="11276" width="22.44140625" style="1455" customWidth="1"/>
    <col min="11277" max="11277" width="22.33203125" style="1455" customWidth="1"/>
    <col min="11278" max="11278" width="23.33203125" style="1455" customWidth="1"/>
    <col min="11279" max="11279" width="21.77734375" style="1455" customWidth="1"/>
    <col min="11280" max="11280" width="9.109375" style="1455" customWidth="1"/>
    <col min="11281" max="11281" width="16.33203125" style="1455" bestFit="1" customWidth="1"/>
    <col min="11282" max="11520" width="9.109375" style="1455"/>
    <col min="11521" max="11523" width="0" style="1455" hidden="1" customWidth="1"/>
    <col min="11524" max="11524" width="16.109375" style="1455" customWidth="1"/>
    <col min="11525" max="11525" width="12.44140625" style="1455" customWidth="1"/>
    <col min="11526" max="11526" width="0" style="1455" hidden="1" customWidth="1"/>
    <col min="11527" max="11527" width="15.33203125" style="1455" customWidth="1"/>
    <col min="11528" max="11528" width="55" style="1455" customWidth="1"/>
    <col min="11529" max="11529" width="0" style="1455" hidden="1" customWidth="1"/>
    <col min="11530" max="11530" width="65.33203125" style="1455" customWidth="1"/>
    <col min="11531" max="11531" width="22.33203125" style="1455" customWidth="1"/>
    <col min="11532" max="11532" width="22.44140625" style="1455" customWidth="1"/>
    <col min="11533" max="11533" width="22.33203125" style="1455" customWidth="1"/>
    <col min="11534" max="11534" width="23.33203125" style="1455" customWidth="1"/>
    <col min="11535" max="11535" width="21.77734375" style="1455" customWidth="1"/>
    <col min="11536" max="11536" width="9.109375" style="1455" customWidth="1"/>
    <col min="11537" max="11537" width="16.33203125" style="1455" bestFit="1" customWidth="1"/>
    <col min="11538" max="11776" width="9.109375" style="1455"/>
    <col min="11777" max="11779" width="0" style="1455" hidden="1" customWidth="1"/>
    <col min="11780" max="11780" width="16.109375" style="1455" customWidth="1"/>
    <col min="11781" max="11781" width="12.44140625" style="1455" customWidth="1"/>
    <col min="11782" max="11782" width="0" style="1455" hidden="1" customWidth="1"/>
    <col min="11783" max="11783" width="15.33203125" style="1455" customWidth="1"/>
    <col min="11784" max="11784" width="55" style="1455" customWidth="1"/>
    <col min="11785" max="11785" width="0" style="1455" hidden="1" customWidth="1"/>
    <col min="11786" max="11786" width="65.33203125" style="1455" customWidth="1"/>
    <col min="11787" max="11787" width="22.33203125" style="1455" customWidth="1"/>
    <col min="11788" max="11788" width="22.44140625" style="1455" customWidth="1"/>
    <col min="11789" max="11789" width="22.33203125" style="1455" customWidth="1"/>
    <col min="11790" max="11790" width="23.33203125" style="1455" customWidth="1"/>
    <col min="11791" max="11791" width="21.77734375" style="1455" customWidth="1"/>
    <col min="11792" max="11792" width="9.109375" style="1455" customWidth="1"/>
    <col min="11793" max="11793" width="16.33203125" style="1455" bestFit="1" customWidth="1"/>
    <col min="11794" max="12032" width="9.109375" style="1455"/>
    <col min="12033" max="12035" width="0" style="1455" hidden="1" customWidth="1"/>
    <col min="12036" max="12036" width="16.109375" style="1455" customWidth="1"/>
    <col min="12037" max="12037" width="12.44140625" style="1455" customWidth="1"/>
    <col min="12038" max="12038" width="0" style="1455" hidden="1" customWidth="1"/>
    <col min="12039" max="12039" width="15.33203125" style="1455" customWidth="1"/>
    <col min="12040" max="12040" width="55" style="1455" customWidth="1"/>
    <col min="12041" max="12041" width="0" style="1455" hidden="1" customWidth="1"/>
    <col min="12042" max="12042" width="65.33203125" style="1455" customWidth="1"/>
    <col min="12043" max="12043" width="22.33203125" style="1455" customWidth="1"/>
    <col min="12044" max="12044" width="22.44140625" style="1455" customWidth="1"/>
    <col min="12045" max="12045" width="22.33203125" style="1455" customWidth="1"/>
    <col min="12046" max="12046" width="23.33203125" style="1455" customWidth="1"/>
    <col min="12047" max="12047" width="21.77734375" style="1455" customWidth="1"/>
    <col min="12048" max="12048" width="9.109375" style="1455" customWidth="1"/>
    <col min="12049" max="12049" width="16.33203125" style="1455" bestFit="1" customWidth="1"/>
    <col min="12050" max="12288" width="9.109375" style="1455"/>
    <col min="12289" max="12291" width="0" style="1455" hidden="1" customWidth="1"/>
    <col min="12292" max="12292" width="16.109375" style="1455" customWidth="1"/>
    <col min="12293" max="12293" width="12.44140625" style="1455" customWidth="1"/>
    <col min="12294" max="12294" width="0" style="1455" hidden="1" customWidth="1"/>
    <col min="12295" max="12295" width="15.33203125" style="1455" customWidth="1"/>
    <col min="12296" max="12296" width="55" style="1455" customWidth="1"/>
    <col min="12297" max="12297" width="0" style="1455" hidden="1" customWidth="1"/>
    <col min="12298" max="12298" width="65.33203125" style="1455" customWidth="1"/>
    <col min="12299" max="12299" width="22.33203125" style="1455" customWidth="1"/>
    <col min="12300" max="12300" width="22.44140625" style="1455" customWidth="1"/>
    <col min="12301" max="12301" width="22.33203125" style="1455" customWidth="1"/>
    <col min="12302" max="12302" width="23.33203125" style="1455" customWidth="1"/>
    <col min="12303" max="12303" width="21.77734375" style="1455" customWidth="1"/>
    <col min="12304" max="12304" width="9.109375" style="1455" customWidth="1"/>
    <col min="12305" max="12305" width="16.33203125" style="1455" bestFit="1" customWidth="1"/>
    <col min="12306" max="12544" width="9.109375" style="1455"/>
    <col min="12545" max="12547" width="0" style="1455" hidden="1" customWidth="1"/>
    <col min="12548" max="12548" width="16.109375" style="1455" customWidth="1"/>
    <col min="12549" max="12549" width="12.44140625" style="1455" customWidth="1"/>
    <col min="12550" max="12550" width="0" style="1455" hidden="1" customWidth="1"/>
    <col min="12551" max="12551" width="15.33203125" style="1455" customWidth="1"/>
    <col min="12552" max="12552" width="55" style="1455" customWidth="1"/>
    <col min="12553" max="12553" width="0" style="1455" hidden="1" customWidth="1"/>
    <col min="12554" max="12554" width="65.33203125" style="1455" customWidth="1"/>
    <col min="12555" max="12555" width="22.33203125" style="1455" customWidth="1"/>
    <col min="12556" max="12556" width="22.44140625" style="1455" customWidth="1"/>
    <col min="12557" max="12557" width="22.33203125" style="1455" customWidth="1"/>
    <col min="12558" max="12558" width="23.33203125" style="1455" customWidth="1"/>
    <col min="12559" max="12559" width="21.77734375" style="1455" customWidth="1"/>
    <col min="12560" max="12560" width="9.109375" style="1455" customWidth="1"/>
    <col min="12561" max="12561" width="16.33203125" style="1455" bestFit="1" customWidth="1"/>
    <col min="12562" max="12800" width="9.109375" style="1455"/>
    <col min="12801" max="12803" width="0" style="1455" hidden="1" customWidth="1"/>
    <col min="12804" max="12804" width="16.109375" style="1455" customWidth="1"/>
    <col min="12805" max="12805" width="12.44140625" style="1455" customWidth="1"/>
    <col min="12806" max="12806" width="0" style="1455" hidden="1" customWidth="1"/>
    <col min="12807" max="12807" width="15.33203125" style="1455" customWidth="1"/>
    <col min="12808" max="12808" width="55" style="1455" customWidth="1"/>
    <col min="12809" max="12809" width="0" style="1455" hidden="1" customWidth="1"/>
    <col min="12810" max="12810" width="65.33203125" style="1455" customWidth="1"/>
    <col min="12811" max="12811" width="22.33203125" style="1455" customWidth="1"/>
    <col min="12812" max="12812" width="22.44140625" style="1455" customWidth="1"/>
    <col min="12813" max="12813" width="22.33203125" style="1455" customWidth="1"/>
    <col min="12814" max="12814" width="23.33203125" style="1455" customWidth="1"/>
    <col min="12815" max="12815" width="21.77734375" style="1455" customWidth="1"/>
    <col min="12816" max="12816" width="9.109375" style="1455" customWidth="1"/>
    <col min="12817" max="12817" width="16.33203125" style="1455" bestFit="1" customWidth="1"/>
    <col min="12818" max="13056" width="9.109375" style="1455"/>
    <col min="13057" max="13059" width="0" style="1455" hidden="1" customWidth="1"/>
    <col min="13060" max="13060" width="16.109375" style="1455" customWidth="1"/>
    <col min="13061" max="13061" width="12.44140625" style="1455" customWidth="1"/>
    <col min="13062" max="13062" width="0" style="1455" hidden="1" customWidth="1"/>
    <col min="13063" max="13063" width="15.33203125" style="1455" customWidth="1"/>
    <col min="13064" max="13064" width="55" style="1455" customWidth="1"/>
    <col min="13065" max="13065" width="0" style="1455" hidden="1" customWidth="1"/>
    <col min="13066" max="13066" width="65.33203125" style="1455" customWidth="1"/>
    <col min="13067" max="13067" width="22.33203125" style="1455" customWidth="1"/>
    <col min="13068" max="13068" width="22.44140625" style="1455" customWidth="1"/>
    <col min="13069" max="13069" width="22.33203125" style="1455" customWidth="1"/>
    <col min="13070" max="13070" width="23.33203125" style="1455" customWidth="1"/>
    <col min="13071" max="13071" width="21.77734375" style="1455" customWidth="1"/>
    <col min="13072" max="13072" width="9.109375" style="1455" customWidth="1"/>
    <col min="13073" max="13073" width="16.33203125" style="1455" bestFit="1" customWidth="1"/>
    <col min="13074" max="13312" width="9.109375" style="1455"/>
    <col min="13313" max="13315" width="0" style="1455" hidden="1" customWidth="1"/>
    <col min="13316" max="13316" width="16.109375" style="1455" customWidth="1"/>
    <col min="13317" max="13317" width="12.44140625" style="1455" customWidth="1"/>
    <col min="13318" max="13318" width="0" style="1455" hidden="1" customWidth="1"/>
    <col min="13319" max="13319" width="15.33203125" style="1455" customWidth="1"/>
    <col min="13320" max="13320" width="55" style="1455" customWidth="1"/>
    <col min="13321" max="13321" width="0" style="1455" hidden="1" customWidth="1"/>
    <col min="13322" max="13322" width="65.33203125" style="1455" customWidth="1"/>
    <col min="13323" max="13323" width="22.33203125" style="1455" customWidth="1"/>
    <col min="13324" max="13324" width="22.44140625" style="1455" customWidth="1"/>
    <col min="13325" max="13325" width="22.33203125" style="1455" customWidth="1"/>
    <col min="13326" max="13326" width="23.33203125" style="1455" customWidth="1"/>
    <col min="13327" max="13327" width="21.77734375" style="1455" customWidth="1"/>
    <col min="13328" max="13328" width="9.109375" style="1455" customWidth="1"/>
    <col min="13329" max="13329" width="16.33203125" style="1455" bestFit="1" customWidth="1"/>
    <col min="13330" max="13568" width="9.109375" style="1455"/>
    <col min="13569" max="13571" width="0" style="1455" hidden="1" customWidth="1"/>
    <col min="13572" max="13572" width="16.109375" style="1455" customWidth="1"/>
    <col min="13573" max="13573" width="12.44140625" style="1455" customWidth="1"/>
    <col min="13574" max="13574" width="0" style="1455" hidden="1" customWidth="1"/>
    <col min="13575" max="13575" width="15.33203125" style="1455" customWidth="1"/>
    <col min="13576" max="13576" width="55" style="1455" customWidth="1"/>
    <col min="13577" max="13577" width="0" style="1455" hidden="1" customWidth="1"/>
    <col min="13578" max="13578" width="65.33203125" style="1455" customWidth="1"/>
    <col min="13579" max="13579" width="22.33203125" style="1455" customWidth="1"/>
    <col min="13580" max="13580" width="22.44140625" style="1455" customWidth="1"/>
    <col min="13581" max="13581" width="22.33203125" style="1455" customWidth="1"/>
    <col min="13582" max="13582" width="23.33203125" style="1455" customWidth="1"/>
    <col min="13583" max="13583" width="21.77734375" style="1455" customWidth="1"/>
    <col min="13584" max="13584" width="9.109375" style="1455" customWidth="1"/>
    <col min="13585" max="13585" width="16.33203125" style="1455" bestFit="1" customWidth="1"/>
    <col min="13586" max="13824" width="9.109375" style="1455"/>
    <col min="13825" max="13827" width="0" style="1455" hidden="1" customWidth="1"/>
    <col min="13828" max="13828" width="16.109375" style="1455" customWidth="1"/>
    <col min="13829" max="13829" width="12.44140625" style="1455" customWidth="1"/>
    <col min="13830" max="13830" width="0" style="1455" hidden="1" customWidth="1"/>
    <col min="13831" max="13831" width="15.33203125" style="1455" customWidth="1"/>
    <col min="13832" max="13832" width="55" style="1455" customWidth="1"/>
    <col min="13833" max="13833" width="0" style="1455" hidden="1" customWidth="1"/>
    <col min="13834" max="13834" width="65.33203125" style="1455" customWidth="1"/>
    <col min="13835" max="13835" width="22.33203125" style="1455" customWidth="1"/>
    <col min="13836" max="13836" width="22.44140625" style="1455" customWidth="1"/>
    <col min="13837" max="13837" width="22.33203125" style="1455" customWidth="1"/>
    <col min="13838" max="13838" width="23.33203125" style="1455" customWidth="1"/>
    <col min="13839" max="13839" width="21.77734375" style="1455" customWidth="1"/>
    <col min="13840" max="13840" width="9.109375" style="1455" customWidth="1"/>
    <col min="13841" max="13841" width="16.33203125" style="1455" bestFit="1" customWidth="1"/>
    <col min="13842" max="14080" width="9.109375" style="1455"/>
    <col min="14081" max="14083" width="0" style="1455" hidden="1" customWidth="1"/>
    <col min="14084" max="14084" width="16.109375" style="1455" customWidth="1"/>
    <col min="14085" max="14085" width="12.44140625" style="1455" customWidth="1"/>
    <col min="14086" max="14086" width="0" style="1455" hidden="1" customWidth="1"/>
    <col min="14087" max="14087" width="15.33203125" style="1455" customWidth="1"/>
    <col min="14088" max="14088" width="55" style="1455" customWidth="1"/>
    <col min="14089" max="14089" width="0" style="1455" hidden="1" customWidth="1"/>
    <col min="14090" max="14090" width="65.33203125" style="1455" customWidth="1"/>
    <col min="14091" max="14091" width="22.33203125" style="1455" customWidth="1"/>
    <col min="14092" max="14092" width="22.44140625" style="1455" customWidth="1"/>
    <col min="14093" max="14093" width="22.33203125" style="1455" customWidth="1"/>
    <col min="14094" max="14094" width="23.33203125" style="1455" customWidth="1"/>
    <col min="14095" max="14095" width="21.77734375" style="1455" customWidth="1"/>
    <col min="14096" max="14096" width="9.109375" style="1455" customWidth="1"/>
    <col min="14097" max="14097" width="16.33203125" style="1455" bestFit="1" customWidth="1"/>
    <col min="14098" max="14336" width="9.109375" style="1455"/>
    <col min="14337" max="14339" width="0" style="1455" hidden="1" customWidth="1"/>
    <col min="14340" max="14340" width="16.109375" style="1455" customWidth="1"/>
    <col min="14341" max="14341" width="12.44140625" style="1455" customWidth="1"/>
    <col min="14342" max="14342" width="0" style="1455" hidden="1" customWidth="1"/>
    <col min="14343" max="14343" width="15.33203125" style="1455" customWidth="1"/>
    <col min="14344" max="14344" width="55" style="1455" customWidth="1"/>
    <col min="14345" max="14345" width="0" style="1455" hidden="1" customWidth="1"/>
    <col min="14346" max="14346" width="65.33203125" style="1455" customWidth="1"/>
    <col min="14347" max="14347" width="22.33203125" style="1455" customWidth="1"/>
    <col min="14348" max="14348" width="22.44140625" style="1455" customWidth="1"/>
    <col min="14349" max="14349" width="22.33203125" style="1455" customWidth="1"/>
    <col min="14350" max="14350" width="23.33203125" style="1455" customWidth="1"/>
    <col min="14351" max="14351" width="21.77734375" style="1455" customWidth="1"/>
    <col min="14352" max="14352" width="9.109375" style="1455" customWidth="1"/>
    <col min="14353" max="14353" width="16.33203125" style="1455" bestFit="1" customWidth="1"/>
    <col min="14354" max="14592" width="9.109375" style="1455"/>
    <col min="14593" max="14595" width="0" style="1455" hidden="1" customWidth="1"/>
    <col min="14596" max="14596" width="16.109375" style="1455" customWidth="1"/>
    <col min="14597" max="14597" width="12.44140625" style="1455" customWidth="1"/>
    <col min="14598" max="14598" width="0" style="1455" hidden="1" customWidth="1"/>
    <col min="14599" max="14599" width="15.33203125" style="1455" customWidth="1"/>
    <col min="14600" max="14600" width="55" style="1455" customWidth="1"/>
    <col min="14601" max="14601" width="0" style="1455" hidden="1" customWidth="1"/>
    <col min="14602" max="14602" width="65.33203125" style="1455" customWidth="1"/>
    <col min="14603" max="14603" width="22.33203125" style="1455" customWidth="1"/>
    <col min="14604" max="14604" width="22.44140625" style="1455" customWidth="1"/>
    <col min="14605" max="14605" width="22.33203125" style="1455" customWidth="1"/>
    <col min="14606" max="14606" width="23.33203125" style="1455" customWidth="1"/>
    <col min="14607" max="14607" width="21.77734375" style="1455" customWidth="1"/>
    <col min="14608" max="14608" width="9.109375" style="1455" customWidth="1"/>
    <col min="14609" max="14609" width="16.33203125" style="1455" bestFit="1" customWidth="1"/>
    <col min="14610" max="14848" width="9.109375" style="1455"/>
    <col min="14849" max="14851" width="0" style="1455" hidden="1" customWidth="1"/>
    <col min="14852" max="14852" width="16.109375" style="1455" customWidth="1"/>
    <col min="14853" max="14853" width="12.44140625" style="1455" customWidth="1"/>
    <col min="14854" max="14854" width="0" style="1455" hidden="1" customWidth="1"/>
    <col min="14855" max="14855" width="15.33203125" style="1455" customWidth="1"/>
    <col min="14856" max="14856" width="55" style="1455" customWidth="1"/>
    <col min="14857" max="14857" width="0" style="1455" hidden="1" customWidth="1"/>
    <col min="14858" max="14858" width="65.33203125" style="1455" customWidth="1"/>
    <col min="14859" max="14859" width="22.33203125" style="1455" customWidth="1"/>
    <col min="14860" max="14860" width="22.44140625" style="1455" customWidth="1"/>
    <col min="14861" max="14861" width="22.33203125" style="1455" customWidth="1"/>
    <col min="14862" max="14862" width="23.33203125" style="1455" customWidth="1"/>
    <col min="14863" max="14863" width="21.77734375" style="1455" customWidth="1"/>
    <col min="14864" max="14864" width="9.109375" style="1455" customWidth="1"/>
    <col min="14865" max="14865" width="16.33203125" style="1455" bestFit="1" customWidth="1"/>
    <col min="14866" max="15104" width="9.109375" style="1455"/>
    <col min="15105" max="15107" width="0" style="1455" hidden="1" customWidth="1"/>
    <col min="15108" max="15108" width="16.109375" style="1455" customWidth="1"/>
    <col min="15109" max="15109" width="12.44140625" style="1455" customWidth="1"/>
    <col min="15110" max="15110" width="0" style="1455" hidden="1" customWidth="1"/>
    <col min="15111" max="15111" width="15.33203125" style="1455" customWidth="1"/>
    <col min="15112" max="15112" width="55" style="1455" customWidth="1"/>
    <col min="15113" max="15113" width="0" style="1455" hidden="1" customWidth="1"/>
    <col min="15114" max="15114" width="65.33203125" style="1455" customWidth="1"/>
    <col min="15115" max="15115" width="22.33203125" style="1455" customWidth="1"/>
    <col min="15116" max="15116" width="22.44140625" style="1455" customWidth="1"/>
    <col min="15117" max="15117" width="22.33203125" style="1455" customWidth="1"/>
    <col min="15118" max="15118" width="23.33203125" style="1455" customWidth="1"/>
    <col min="15119" max="15119" width="21.77734375" style="1455" customWidth="1"/>
    <col min="15120" max="15120" width="9.109375" style="1455" customWidth="1"/>
    <col min="15121" max="15121" width="16.33203125" style="1455" bestFit="1" customWidth="1"/>
    <col min="15122" max="15360" width="9.109375" style="1455"/>
    <col min="15361" max="15363" width="0" style="1455" hidden="1" customWidth="1"/>
    <col min="15364" max="15364" width="16.109375" style="1455" customWidth="1"/>
    <col min="15365" max="15365" width="12.44140625" style="1455" customWidth="1"/>
    <col min="15366" max="15366" width="0" style="1455" hidden="1" customWidth="1"/>
    <col min="15367" max="15367" width="15.33203125" style="1455" customWidth="1"/>
    <col min="15368" max="15368" width="55" style="1455" customWidth="1"/>
    <col min="15369" max="15369" width="0" style="1455" hidden="1" customWidth="1"/>
    <col min="15370" max="15370" width="65.33203125" style="1455" customWidth="1"/>
    <col min="15371" max="15371" width="22.33203125" style="1455" customWidth="1"/>
    <col min="15372" max="15372" width="22.44140625" style="1455" customWidth="1"/>
    <col min="15373" max="15373" width="22.33203125" style="1455" customWidth="1"/>
    <col min="15374" max="15374" width="23.33203125" style="1455" customWidth="1"/>
    <col min="15375" max="15375" width="21.77734375" style="1455" customWidth="1"/>
    <col min="15376" max="15376" width="9.109375" style="1455" customWidth="1"/>
    <col min="15377" max="15377" width="16.33203125" style="1455" bestFit="1" customWidth="1"/>
    <col min="15378" max="15616" width="9.109375" style="1455"/>
    <col min="15617" max="15619" width="0" style="1455" hidden="1" customWidth="1"/>
    <col min="15620" max="15620" width="16.109375" style="1455" customWidth="1"/>
    <col min="15621" max="15621" width="12.44140625" style="1455" customWidth="1"/>
    <col min="15622" max="15622" width="0" style="1455" hidden="1" customWidth="1"/>
    <col min="15623" max="15623" width="15.33203125" style="1455" customWidth="1"/>
    <col min="15624" max="15624" width="55" style="1455" customWidth="1"/>
    <col min="15625" max="15625" width="0" style="1455" hidden="1" customWidth="1"/>
    <col min="15626" max="15626" width="65.33203125" style="1455" customWidth="1"/>
    <col min="15627" max="15627" width="22.33203125" style="1455" customWidth="1"/>
    <col min="15628" max="15628" width="22.44140625" style="1455" customWidth="1"/>
    <col min="15629" max="15629" width="22.33203125" style="1455" customWidth="1"/>
    <col min="15630" max="15630" width="23.33203125" style="1455" customWidth="1"/>
    <col min="15631" max="15631" width="21.77734375" style="1455" customWidth="1"/>
    <col min="15632" max="15632" width="9.109375" style="1455" customWidth="1"/>
    <col min="15633" max="15633" width="16.33203125" style="1455" bestFit="1" customWidth="1"/>
    <col min="15634" max="15872" width="9.109375" style="1455"/>
    <col min="15873" max="15875" width="0" style="1455" hidden="1" customWidth="1"/>
    <col min="15876" max="15876" width="16.109375" style="1455" customWidth="1"/>
    <col min="15877" max="15877" width="12.44140625" style="1455" customWidth="1"/>
    <col min="15878" max="15878" width="0" style="1455" hidden="1" customWidth="1"/>
    <col min="15879" max="15879" width="15.33203125" style="1455" customWidth="1"/>
    <col min="15880" max="15880" width="55" style="1455" customWidth="1"/>
    <col min="15881" max="15881" width="0" style="1455" hidden="1" customWidth="1"/>
    <col min="15882" max="15882" width="65.33203125" style="1455" customWidth="1"/>
    <col min="15883" max="15883" width="22.33203125" style="1455" customWidth="1"/>
    <col min="15884" max="15884" width="22.44140625" style="1455" customWidth="1"/>
    <col min="15885" max="15885" width="22.33203125" style="1455" customWidth="1"/>
    <col min="15886" max="15886" width="23.33203125" style="1455" customWidth="1"/>
    <col min="15887" max="15887" width="21.77734375" style="1455" customWidth="1"/>
    <col min="15888" max="15888" width="9.109375" style="1455" customWidth="1"/>
    <col min="15889" max="15889" width="16.33203125" style="1455" bestFit="1" customWidth="1"/>
    <col min="15890" max="16128" width="9.109375" style="1455"/>
    <col min="16129" max="16131" width="0" style="1455" hidden="1" customWidth="1"/>
    <col min="16132" max="16132" width="16.109375" style="1455" customWidth="1"/>
    <col min="16133" max="16133" width="12.44140625" style="1455" customWidth="1"/>
    <col min="16134" max="16134" width="0" style="1455" hidden="1" customWidth="1"/>
    <col min="16135" max="16135" width="15.33203125" style="1455" customWidth="1"/>
    <col min="16136" max="16136" width="55" style="1455" customWidth="1"/>
    <col min="16137" max="16137" width="0" style="1455" hidden="1" customWidth="1"/>
    <col min="16138" max="16138" width="65.33203125" style="1455" customWidth="1"/>
    <col min="16139" max="16139" width="22.33203125" style="1455" customWidth="1"/>
    <col min="16140" max="16140" width="22.44140625" style="1455" customWidth="1"/>
    <col min="16141" max="16141" width="22.33203125" style="1455" customWidth="1"/>
    <col min="16142" max="16142" width="23.33203125" style="1455" customWidth="1"/>
    <col min="16143" max="16143" width="21.77734375" style="1455" customWidth="1"/>
    <col min="16144" max="16144" width="9.109375" style="1455" customWidth="1"/>
    <col min="16145" max="16145" width="16.33203125" style="1455" bestFit="1" customWidth="1"/>
    <col min="16146" max="16384" width="9.109375" style="1455"/>
  </cols>
  <sheetData>
    <row r="1" spans="1:15" s="1430" customFormat="1" ht="15.6" x14ac:dyDescent="0.3">
      <c r="A1" s="1449"/>
      <c r="B1" s="1450"/>
      <c r="C1" s="1450"/>
      <c r="D1" s="1451"/>
      <c r="E1" s="1452"/>
      <c r="F1" s="1452"/>
      <c r="G1" s="1452"/>
      <c r="H1" s="1452"/>
      <c r="I1" s="1452"/>
      <c r="J1" s="1452"/>
      <c r="K1" s="1452"/>
      <c r="L1" s="1450"/>
      <c r="M1" s="1450"/>
      <c r="N1" s="1975" t="s">
        <v>1575</v>
      </c>
      <c r="O1" s="1976"/>
    </row>
    <row r="2" spans="1:15" s="1430" customFormat="1" ht="75" customHeight="1" x14ac:dyDescent="0.3">
      <c r="A2" s="1449"/>
      <c r="B2" s="1450"/>
      <c r="C2" s="1450"/>
      <c r="D2" s="1451"/>
      <c r="E2" s="1452"/>
      <c r="F2" s="1452"/>
      <c r="G2" s="1452"/>
      <c r="H2" s="1452"/>
      <c r="I2" s="1452"/>
      <c r="J2" s="1452"/>
      <c r="K2" s="1452"/>
      <c r="L2" s="1450"/>
      <c r="M2" s="1450"/>
      <c r="N2" s="1976"/>
      <c r="O2" s="1976"/>
    </row>
    <row r="3" spans="1:15" s="1430" customFormat="1" ht="15.6" x14ac:dyDescent="0.3">
      <c r="A3" s="1449"/>
      <c r="B3" s="1450"/>
      <c r="C3" s="1450"/>
      <c r="D3" s="1451"/>
      <c r="E3" s="1452"/>
      <c r="F3" s="1452"/>
      <c r="G3" s="1452"/>
      <c r="H3" s="1452"/>
      <c r="I3" s="1452"/>
      <c r="J3" s="1452"/>
      <c r="K3" s="1452"/>
      <c r="L3" s="1450"/>
      <c r="M3" s="1450"/>
      <c r="N3" s="1453"/>
      <c r="O3" s="1453"/>
    </row>
    <row r="4" spans="1:15" ht="45" customHeight="1" x14ac:dyDescent="0.25">
      <c r="B4" s="1977" t="s">
        <v>1576</v>
      </c>
      <c r="C4" s="1977"/>
      <c r="D4" s="1977"/>
      <c r="E4" s="1977"/>
      <c r="F4" s="1978"/>
      <c r="G4" s="1978"/>
      <c r="H4" s="1978"/>
      <c r="I4" s="1978"/>
      <c r="J4" s="1978"/>
      <c r="K4" s="1978"/>
      <c r="L4" s="1978"/>
      <c r="M4" s="1978"/>
      <c r="N4" s="1978"/>
      <c r="O4" s="1978"/>
    </row>
    <row r="5" spans="1:15" ht="17.399999999999999" x14ac:dyDescent="0.3">
      <c r="B5" s="1456"/>
      <c r="C5" s="1456"/>
      <c r="D5" s="1979">
        <v>2357600000</v>
      </c>
      <c r="E5" s="1979"/>
      <c r="F5" s="1979"/>
      <c r="G5" s="1979"/>
      <c r="H5" s="1979"/>
      <c r="I5" s="1979"/>
      <c r="J5" s="1979"/>
      <c r="K5" s="1979"/>
      <c r="L5" s="1979"/>
      <c r="M5" s="1979"/>
      <c r="N5" s="1979"/>
      <c r="O5" s="1979"/>
    </row>
    <row r="6" spans="1:15" ht="17.399999999999999" x14ac:dyDescent="0.3">
      <c r="B6" s="1457"/>
      <c r="C6" s="1457"/>
      <c r="D6" s="1980" t="s">
        <v>691</v>
      </c>
      <c r="E6" s="1980"/>
      <c r="F6" s="1980"/>
      <c r="G6" s="1980"/>
      <c r="H6" s="1980"/>
      <c r="I6" s="1980"/>
      <c r="J6" s="1980"/>
      <c r="K6" s="1980"/>
      <c r="L6" s="1980"/>
      <c r="M6" s="1980"/>
      <c r="N6" s="1980"/>
      <c r="O6" s="1980"/>
    </row>
    <row r="7" spans="1:15" ht="17.399999999999999" x14ac:dyDescent="0.3">
      <c r="B7" s="1457"/>
      <c r="C7" s="1457"/>
      <c r="D7" s="1458"/>
      <c r="E7" s="1459"/>
      <c r="F7" s="1460"/>
      <c r="G7" s="1461"/>
      <c r="H7" s="1461"/>
      <c r="I7" s="1461"/>
      <c r="J7" s="1461"/>
      <c r="K7" s="1461"/>
      <c r="L7" s="1462"/>
      <c r="M7" s="1463"/>
      <c r="N7" s="1464"/>
      <c r="O7" s="1465" t="s">
        <v>692</v>
      </c>
    </row>
    <row r="8" spans="1:15" ht="57.6" customHeight="1" x14ac:dyDescent="0.25">
      <c r="A8" s="1466"/>
      <c r="B8" s="1467" t="s">
        <v>866</v>
      </c>
      <c r="C8" s="1468" t="s">
        <v>1577</v>
      </c>
      <c r="D8" s="1981" t="s">
        <v>1578</v>
      </c>
      <c r="E8" s="1981" t="s">
        <v>867</v>
      </c>
      <c r="F8" s="1469" t="s">
        <v>1579</v>
      </c>
      <c r="G8" s="1982" t="s">
        <v>868</v>
      </c>
      <c r="H8" s="1982" t="s">
        <v>869</v>
      </c>
      <c r="I8" s="1467" t="s">
        <v>1580</v>
      </c>
      <c r="J8" s="1973" t="s">
        <v>1581</v>
      </c>
      <c r="K8" s="1973" t="s">
        <v>1582</v>
      </c>
      <c r="L8" s="1973" t="s">
        <v>695</v>
      </c>
      <c r="M8" s="1974" t="s">
        <v>2</v>
      </c>
      <c r="N8" s="1973" t="s">
        <v>3</v>
      </c>
      <c r="O8" s="1973"/>
    </row>
    <row r="9" spans="1:15" ht="42" customHeight="1" x14ac:dyDescent="0.25">
      <c r="A9" s="1466"/>
      <c r="B9" s="1467"/>
      <c r="C9" s="1468"/>
      <c r="D9" s="1981"/>
      <c r="E9" s="1981"/>
      <c r="F9" s="1469"/>
      <c r="G9" s="1982"/>
      <c r="H9" s="1982"/>
      <c r="I9" s="1467"/>
      <c r="J9" s="1973"/>
      <c r="K9" s="1973"/>
      <c r="L9" s="1973"/>
      <c r="M9" s="1974"/>
      <c r="N9" s="1470" t="s">
        <v>832</v>
      </c>
      <c r="O9" s="1470" t="s">
        <v>833</v>
      </c>
    </row>
    <row r="10" spans="1:15" s="1352" customFormat="1" ht="13.8" x14ac:dyDescent="0.25">
      <c r="A10" s="1471"/>
      <c r="B10" s="1472"/>
      <c r="C10" s="1473"/>
      <c r="D10" s="1474" t="s">
        <v>1583</v>
      </c>
      <c r="E10" s="1474" t="s">
        <v>1584</v>
      </c>
      <c r="F10" s="1474"/>
      <c r="G10" s="1472">
        <v>3</v>
      </c>
      <c r="H10" s="1472">
        <v>4</v>
      </c>
      <c r="I10" s="1472"/>
      <c r="J10" s="1470">
        <v>5</v>
      </c>
      <c r="K10" s="1470">
        <v>6</v>
      </c>
      <c r="L10" s="1470">
        <v>7</v>
      </c>
      <c r="M10" s="1472">
        <v>8</v>
      </c>
      <c r="N10" s="1470">
        <v>9</v>
      </c>
      <c r="O10" s="1470">
        <v>10</v>
      </c>
    </row>
    <row r="11" spans="1:15" ht="13.8" x14ac:dyDescent="0.25">
      <c r="A11" s="1466"/>
      <c r="B11" s="1470" t="s">
        <v>1585</v>
      </c>
      <c r="C11" s="1470"/>
      <c r="D11" s="1475" t="s">
        <v>881</v>
      </c>
      <c r="E11" s="1476"/>
      <c r="F11" s="1476"/>
      <c r="G11" s="1476"/>
      <c r="H11" s="1477" t="s">
        <v>882</v>
      </c>
      <c r="I11" s="1477" t="s">
        <v>1586</v>
      </c>
      <c r="J11" s="1478"/>
      <c r="K11" s="1478"/>
      <c r="L11" s="1479">
        <f>M11+N11</f>
        <v>403736157</v>
      </c>
      <c r="M11" s="1479">
        <f>M12</f>
        <v>401863657</v>
      </c>
      <c r="N11" s="1479">
        <f>N12</f>
        <v>1872500</v>
      </c>
      <c r="O11" s="1479">
        <f>O12</f>
        <v>0</v>
      </c>
    </row>
    <row r="12" spans="1:15" ht="13.8" x14ac:dyDescent="0.25">
      <c r="A12" s="1466"/>
      <c r="B12" s="1470" t="s">
        <v>1585</v>
      </c>
      <c r="C12" s="1470"/>
      <c r="D12" s="1480" t="s">
        <v>883</v>
      </c>
      <c r="E12" s="1481"/>
      <c r="F12" s="1481"/>
      <c r="G12" s="1481"/>
      <c r="H12" s="1482" t="s">
        <v>1587</v>
      </c>
      <c r="I12" s="1482" t="s">
        <v>1586</v>
      </c>
      <c r="J12" s="1483"/>
      <c r="K12" s="1483"/>
      <c r="L12" s="1484">
        <f>M12+N12</f>
        <v>403736157</v>
      </c>
      <c r="M12" s="1484">
        <f>SUM(M14:M82)-M18-M25-M33-M55-M49-M61-M69-M41-M45-M66</f>
        <v>401863657</v>
      </c>
      <c r="N12" s="1484">
        <f>SUM(N14:N81)-N18-N25-N33-N55-N49-N61-N69-N41-N45-N66</f>
        <v>1872500</v>
      </c>
      <c r="O12" s="1484">
        <f>SUM(O14:O81)-O18-O25-O33-O55-O49-O61-O69-O41-O45-O66</f>
        <v>0</v>
      </c>
    </row>
    <row r="13" spans="1:15" ht="13.8" x14ac:dyDescent="0.25">
      <c r="A13" s="1466"/>
      <c r="B13" s="1470"/>
      <c r="C13" s="1470"/>
      <c r="D13" s="1945" t="s">
        <v>901</v>
      </c>
      <c r="E13" s="1947">
        <v>1010</v>
      </c>
      <c r="F13" s="1481"/>
      <c r="G13" s="1949" t="s">
        <v>912</v>
      </c>
      <c r="H13" s="1957" t="s">
        <v>903</v>
      </c>
      <c r="I13" s="1482"/>
      <c r="J13" s="1483"/>
      <c r="K13" s="1483"/>
      <c r="L13" s="1484">
        <f>L14+L16+L15+L17</f>
        <v>84985105</v>
      </c>
      <c r="M13" s="1485">
        <f>M14+M16+M15</f>
        <v>84985105</v>
      </c>
      <c r="N13" s="1485">
        <f>N14+N16+N15+N17</f>
        <v>0</v>
      </c>
      <c r="O13" s="1485">
        <f>O14+O16+O15+O17</f>
        <v>0</v>
      </c>
    </row>
    <row r="14" spans="1:15" ht="52.2" customHeight="1" x14ac:dyDescent="0.25">
      <c r="A14" s="1466"/>
      <c r="B14" s="1470"/>
      <c r="C14" s="1470"/>
      <c r="D14" s="1946"/>
      <c r="E14" s="1948"/>
      <c r="F14" s="1481" t="s">
        <v>1588</v>
      </c>
      <c r="G14" s="1950"/>
      <c r="H14" s="1958"/>
      <c r="I14" s="1486" t="s">
        <v>1589</v>
      </c>
      <c r="J14" s="1487" t="s">
        <v>1590</v>
      </c>
      <c r="K14" s="1488" t="s">
        <v>1591</v>
      </c>
      <c r="L14" s="1484">
        <f>M14+N14</f>
        <v>16119500</v>
      </c>
      <c r="M14" s="1485">
        <f>12304500+3815000</f>
        <v>16119500</v>
      </c>
      <c r="N14" s="1484"/>
      <c r="O14" s="1485"/>
    </row>
    <row r="15" spans="1:15" ht="42" customHeight="1" x14ac:dyDescent="0.25">
      <c r="A15" s="1466"/>
      <c r="B15" s="1470"/>
      <c r="C15" s="1470"/>
      <c r="D15" s="1946"/>
      <c r="E15" s="1948"/>
      <c r="F15" s="1481"/>
      <c r="G15" s="1950"/>
      <c r="H15" s="1958"/>
      <c r="I15" s="1486"/>
      <c r="J15" s="1489" t="s">
        <v>1592</v>
      </c>
      <c r="K15" s="1488" t="s">
        <v>1593</v>
      </c>
      <c r="L15" s="1484">
        <f>M15+N15</f>
        <v>32255195</v>
      </c>
      <c r="M15" s="1485">
        <f>6094010+15161185+11000000</f>
        <v>32255195</v>
      </c>
      <c r="N15" s="1485"/>
      <c r="O15" s="1485"/>
    </row>
    <row r="16" spans="1:15" ht="72.599999999999994" customHeight="1" x14ac:dyDescent="0.25">
      <c r="A16" s="1466"/>
      <c r="B16" s="1470"/>
      <c r="C16" s="1470"/>
      <c r="D16" s="1946"/>
      <c r="E16" s="1948"/>
      <c r="F16" s="1481"/>
      <c r="G16" s="1950"/>
      <c r="H16" s="1958"/>
      <c r="I16" s="1486"/>
      <c r="J16" s="1489" t="s">
        <v>1594</v>
      </c>
      <c r="K16" s="1488" t="s">
        <v>1595</v>
      </c>
      <c r="L16" s="1484">
        <f>M16+N16</f>
        <v>36610410</v>
      </c>
      <c r="M16" s="1485">
        <f>33110410+3500000</f>
        <v>36610410</v>
      </c>
      <c r="N16" s="1484"/>
      <c r="O16" s="1485"/>
    </row>
    <row r="17" spans="1:15" ht="41.4" hidden="1" x14ac:dyDescent="0.25">
      <c r="A17" s="1466"/>
      <c r="B17" s="1470"/>
      <c r="C17" s="1470"/>
      <c r="D17" s="1953"/>
      <c r="E17" s="1954"/>
      <c r="F17" s="1481"/>
      <c r="G17" s="1955"/>
      <c r="H17" s="1959"/>
      <c r="I17" s="1486"/>
      <c r="J17" s="1490" t="s">
        <v>1596</v>
      </c>
      <c r="K17" s="1488" t="s">
        <v>1597</v>
      </c>
      <c r="L17" s="1484">
        <f>M17+N17</f>
        <v>0</v>
      </c>
      <c r="M17" s="1485"/>
      <c r="N17" s="1485">
        <f>дод.3!N30</f>
        <v>0</v>
      </c>
      <c r="O17" s="1485">
        <f>N17</f>
        <v>0</v>
      </c>
    </row>
    <row r="18" spans="1:15" ht="13.8" x14ac:dyDescent="0.25">
      <c r="A18" s="1466"/>
      <c r="B18" s="1470"/>
      <c r="C18" s="1470"/>
      <c r="D18" s="1960" t="s">
        <v>914</v>
      </c>
      <c r="E18" s="1964">
        <v>1021</v>
      </c>
      <c r="F18" s="1481"/>
      <c r="G18" s="1961" t="s">
        <v>915</v>
      </c>
      <c r="H18" s="1963" t="s">
        <v>916</v>
      </c>
      <c r="I18" s="1486"/>
      <c r="J18" s="1489"/>
      <c r="K18" s="1488"/>
      <c r="L18" s="1484">
        <f>M18+N18</f>
        <v>119949412</v>
      </c>
      <c r="M18" s="1485">
        <f>M19+M21+M20</f>
        <v>119949412</v>
      </c>
      <c r="N18" s="1485">
        <f>N21</f>
        <v>0</v>
      </c>
      <c r="O18" s="1485">
        <f>O21</f>
        <v>0</v>
      </c>
    </row>
    <row r="19" spans="1:15" ht="59.4" customHeight="1" x14ac:dyDescent="0.25">
      <c r="A19" s="1466"/>
      <c r="B19" s="1470"/>
      <c r="C19" s="1470"/>
      <c r="D19" s="1960"/>
      <c r="E19" s="1964"/>
      <c r="F19" s="1481"/>
      <c r="G19" s="1961"/>
      <c r="H19" s="1963"/>
      <c r="I19" s="1431"/>
      <c r="J19" s="1483" t="s">
        <v>1598</v>
      </c>
      <c r="K19" s="1488" t="s">
        <v>1599</v>
      </c>
      <c r="L19" s="1484">
        <f t="shared" ref="L19:L82" si="0">M19+N19</f>
        <v>114105014</v>
      </c>
      <c r="M19" s="1491">
        <f>114105014</f>
        <v>114105014</v>
      </c>
      <c r="N19" s="1491"/>
      <c r="O19" s="1485"/>
    </row>
    <row r="20" spans="1:15" ht="41.4" x14ac:dyDescent="0.25">
      <c r="A20" s="1466"/>
      <c r="B20" s="1470"/>
      <c r="C20" s="1470"/>
      <c r="D20" s="1960"/>
      <c r="E20" s="1964"/>
      <c r="F20" s="1481"/>
      <c r="G20" s="1961"/>
      <c r="H20" s="1963"/>
      <c r="I20" s="1431"/>
      <c r="J20" s="1489" t="s">
        <v>1600</v>
      </c>
      <c r="K20" s="1488" t="s">
        <v>1601</v>
      </c>
      <c r="L20" s="1484">
        <f t="shared" si="0"/>
        <v>5844398</v>
      </c>
      <c r="M20" s="1491">
        <f>5844398</f>
        <v>5844398</v>
      </c>
      <c r="N20" s="1491"/>
      <c r="O20" s="1485"/>
    </row>
    <row r="21" spans="1:15" ht="41.4" hidden="1" x14ac:dyDescent="0.25">
      <c r="A21" s="1466"/>
      <c r="B21" s="1470"/>
      <c r="C21" s="1470"/>
      <c r="D21" s="1960"/>
      <c r="E21" s="1964"/>
      <c r="F21" s="1481"/>
      <c r="G21" s="1961"/>
      <c r="H21" s="1963"/>
      <c r="I21" s="1486"/>
      <c r="J21" s="1490" t="s">
        <v>1596</v>
      </c>
      <c r="K21" s="1488" t="s">
        <v>1597</v>
      </c>
      <c r="L21" s="1484">
        <f>M21+N21</f>
        <v>0</v>
      </c>
      <c r="M21" s="1485"/>
      <c r="N21" s="1485">
        <f>дод.3!N41</f>
        <v>0</v>
      </c>
      <c r="O21" s="1485">
        <f>N21</f>
        <v>0</v>
      </c>
    </row>
    <row r="22" spans="1:15" ht="60.75" hidden="1" customHeight="1" x14ac:dyDescent="0.25">
      <c r="A22" s="1466"/>
      <c r="B22" s="1470"/>
      <c r="C22" s="1470"/>
      <c r="D22" s="1480" t="s">
        <v>924</v>
      </c>
      <c r="E22" s="1492">
        <v>1070</v>
      </c>
      <c r="F22" s="1481"/>
      <c r="G22" s="1481" t="s">
        <v>928</v>
      </c>
      <c r="H22" s="1493" t="s">
        <v>926</v>
      </c>
      <c r="I22" s="1431"/>
      <c r="J22" s="1490" t="s">
        <v>1596</v>
      </c>
      <c r="K22" s="1488" t="s">
        <v>1597</v>
      </c>
      <c r="L22" s="1484">
        <f>M22+N22</f>
        <v>0</v>
      </c>
      <c r="M22" s="1491"/>
      <c r="N22" s="1491">
        <f>дод.3!N52</f>
        <v>0</v>
      </c>
      <c r="O22" s="1485">
        <f>N22</f>
        <v>0</v>
      </c>
    </row>
    <row r="23" spans="1:15" ht="60.75" hidden="1" customHeight="1" x14ac:dyDescent="0.25">
      <c r="A23" s="1466"/>
      <c r="B23" s="1470"/>
      <c r="C23" s="1470"/>
      <c r="D23" s="1480" t="s">
        <v>927</v>
      </c>
      <c r="E23" s="1492">
        <v>1080</v>
      </c>
      <c r="F23" s="1481"/>
      <c r="G23" s="1481" t="s">
        <v>928</v>
      </c>
      <c r="H23" s="1493" t="s">
        <v>929</v>
      </c>
      <c r="I23" s="1431"/>
      <c r="J23" s="1490" t="s">
        <v>1596</v>
      </c>
      <c r="K23" s="1488" t="s">
        <v>1597</v>
      </c>
      <c r="L23" s="1484">
        <f t="shared" si="0"/>
        <v>0</v>
      </c>
      <c r="M23" s="1491"/>
      <c r="N23" s="1491">
        <f>дод.3!N54</f>
        <v>0</v>
      </c>
      <c r="O23" s="1485">
        <f>N23</f>
        <v>0</v>
      </c>
    </row>
    <row r="24" spans="1:15" ht="60.75" hidden="1" customHeight="1" x14ac:dyDescent="0.25">
      <c r="A24" s="1466"/>
      <c r="B24" s="1470"/>
      <c r="C24" s="1470"/>
      <c r="D24" s="1480" t="s">
        <v>945</v>
      </c>
      <c r="E24" s="1492">
        <v>1141</v>
      </c>
      <c r="F24" s="1481"/>
      <c r="G24" s="1481" t="s">
        <v>946</v>
      </c>
      <c r="H24" s="1493" t="s">
        <v>947</v>
      </c>
      <c r="I24" s="1431"/>
      <c r="J24" s="1490" t="s">
        <v>1596</v>
      </c>
      <c r="K24" s="1488" t="s">
        <v>1597</v>
      </c>
      <c r="L24" s="1484">
        <f>M24+N24</f>
        <v>0</v>
      </c>
      <c r="M24" s="1491"/>
      <c r="N24" s="1491">
        <f>дод.3!N65</f>
        <v>0</v>
      </c>
      <c r="O24" s="1485">
        <f>N24</f>
        <v>0</v>
      </c>
    </row>
    <row r="25" spans="1:15" ht="15.6" x14ac:dyDescent="0.25">
      <c r="A25" s="1466"/>
      <c r="B25" s="1470"/>
      <c r="C25" s="1470"/>
      <c r="D25" s="1960" t="s">
        <v>948</v>
      </c>
      <c r="E25" s="1961" t="s">
        <v>1602</v>
      </c>
      <c r="F25" s="1481"/>
      <c r="G25" s="1961" t="s">
        <v>946</v>
      </c>
      <c r="H25" s="1962" t="s">
        <v>949</v>
      </c>
      <c r="I25" s="1431"/>
      <c r="J25" s="1494"/>
      <c r="K25" s="1488"/>
      <c r="L25" s="1484">
        <f>M25+N25</f>
        <v>9966366</v>
      </c>
      <c r="M25" s="1491">
        <f>M26+M29+M27+M28</f>
        <v>9966366</v>
      </c>
      <c r="N25" s="1491"/>
      <c r="O25" s="1485"/>
    </row>
    <row r="26" spans="1:15" ht="71.400000000000006" customHeight="1" x14ac:dyDescent="0.25">
      <c r="A26" s="1466"/>
      <c r="B26" s="1470"/>
      <c r="C26" s="1470"/>
      <c r="D26" s="1960"/>
      <c r="E26" s="1961"/>
      <c r="F26" s="1481" t="s">
        <v>1603</v>
      </c>
      <c r="G26" s="1961"/>
      <c r="H26" s="1962"/>
      <c r="I26" s="1431" t="s">
        <v>1604</v>
      </c>
      <c r="J26" s="1483" t="s">
        <v>1605</v>
      </c>
      <c r="K26" s="1495" t="s">
        <v>1606</v>
      </c>
      <c r="L26" s="1484">
        <f t="shared" si="0"/>
        <v>2046546</v>
      </c>
      <c r="M26" s="1491">
        <v>2046546</v>
      </c>
      <c r="N26" s="1491"/>
      <c r="O26" s="1485"/>
    </row>
    <row r="27" spans="1:15" ht="27.6" hidden="1" x14ac:dyDescent="0.25">
      <c r="A27" s="1466"/>
      <c r="B27" s="1470"/>
      <c r="C27" s="1470"/>
      <c r="D27" s="1960"/>
      <c r="E27" s="1961"/>
      <c r="F27" s="1481"/>
      <c r="G27" s="1961"/>
      <c r="H27" s="1962"/>
      <c r="I27" s="1431"/>
      <c r="J27" s="1489" t="s">
        <v>1607</v>
      </c>
      <c r="K27" s="1488" t="s">
        <v>1608</v>
      </c>
      <c r="L27" s="1484">
        <f t="shared" si="0"/>
        <v>0</v>
      </c>
      <c r="M27" s="1491"/>
      <c r="N27" s="1491"/>
      <c r="O27" s="1485"/>
    </row>
    <row r="28" spans="1:15" ht="27.6" x14ac:dyDescent="0.25">
      <c r="A28" s="1466"/>
      <c r="B28" s="1470"/>
      <c r="C28" s="1470"/>
      <c r="D28" s="1960"/>
      <c r="E28" s="1961"/>
      <c r="F28" s="1481"/>
      <c r="G28" s="1961"/>
      <c r="H28" s="1962"/>
      <c r="I28" s="1431"/>
      <c r="J28" s="1489" t="s">
        <v>1609</v>
      </c>
      <c r="K28" s="1488" t="s">
        <v>1610</v>
      </c>
      <c r="L28" s="1484">
        <f t="shared" si="0"/>
        <v>1800000</v>
      </c>
      <c r="M28" s="1491">
        <f>619110+280890+100000+535000+265000</f>
        <v>1800000</v>
      </c>
      <c r="N28" s="1491"/>
      <c r="O28" s="1485"/>
    </row>
    <row r="29" spans="1:15" ht="45.75" customHeight="1" x14ac:dyDescent="0.25">
      <c r="A29" s="1466"/>
      <c r="B29" s="1470"/>
      <c r="C29" s="1470"/>
      <c r="D29" s="1960"/>
      <c r="E29" s="1961"/>
      <c r="F29" s="1481"/>
      <c r="G29" s="1961"/>
      <c r="H29" s="1962"/>
      <c r="I29" s="1431"/>
      <c r="J29" s="1489" t="s">
        <v>1600</v>
      </c>
      <c r="K29" s="1488" t="s">
        <v>1601</v>
      </c>
      <c r="L29" s="1484">
        <f t="shared" si="0"/>
        <v>6119820</v>
      </c>
      <c r="M29" s="1491">
        <f>2448945+1066235+1139820+1027855+436965</f>
        <v>6119820</v>
      </c>
      <c r="N29" s="1491"/>
      <c r="O29" s="1485"/>
    </row>
    <row r="30" spans="1:15" ht="84" hidden="1" customHeight="1" x14ac:dyDescent="0.25">
      <c r="A30" s="1466"/>
      <c r="B30" s="1470"/>
      <c r="C30" s="1470"/>
      <c r="D30" s="1480" t="s">
        <v>964</v>
      </c>
      <c r="E30" s="1492">
        <v>1241</v>
      </c>
      <c r="F30" s="1481"/>
      <c r="G30" s="1481" t="s">
        <v>946</v>
      </c>
      <c r="H30" s="1493" t="s">
        <v>965</v>
      </c>
      <c r="I30" s="1431"/>
      <c r="J30" s="1490" t="s">
        <v>1596</v>
      </c>
      <c r="K30" s="1488" t="s">
        <v>1597</v>
      </c>
      <c r="L30" s="1484">
        <f>M30+N30</f>
        <v>0</v>
      </c>
      <c r="M30" s="1491"/>
      <c r="N30" s="1491">
        <f>дод.3!N81</f>
        <v>0</v>
      </c>
      <c r="O30" s="1485">
        <f>N30</f>
        <v>0</v>
      </c>
    </row>
    <row r="31" spans="1:15" ht="90.6" hidden="1" customHeight="1" x14ac:dyDescent="0.25">
      <c r="A31" s="1466"/>
      <c r="B31" s="1470"/>
      <c r="C31" s="1470"/>
      <c r="D31" s="1480" t="s">
        <v>966</v>
      </c>
      <c r="E31" s="1492">
        <v>1242</v>
      </c>
      <c r="F31" s="1481"/>
      <c r="G31" s="1481" t="s">
        <v>946</v>
      </c>
      <c r="H31" s="1493" t="s">
        <v>967</v>
      </c>
      <c r="I31" s="1431"/>
      <c r="J31" s="1490" t="s">
        <v>1596</v>
      </c>
      <c r="K31" s="1488" t="s">
        <v>1597</v>
      </c>
      <c r="L31" s="1484">
        <f>M31+N31</f>
        <v>0</v>
      </c>
      <c r="M31" s="1491"/>
      <c r="N31" s="1491">
        <f>дод.3!N82</f>
        <v>0</v>
      </c>
      <c r="O31" s="1485">
        <f>N31</f>
        <v>0</v>
      </c>
    </row>
    <row r="32" spans="1:15" ht="99.6" hidden="1" customHeight="1" x14ac:dyDescent="0.25">
      <c r="A32" s="1466"/>
      <c r="B32" s="1470"/>
      <c r="C32" s="1470"/>
      <c r="D32" s="1480" t="s">
        <v>968</v>
      </c>
      <c r="E32" s="1492">
        <v>1291</v>
      </c>
      <c r="F32" s="1481"/>
      <c r="G32" s="1481" t="s">
        <v>946</v>
      </c>
      <c r="H32" s="1493" t="s">
        <v>969</v>
      </c>
      <c r="I32" s="1431"/>
      <c r="J32" s="1490" t="s">
        <v>1596</v>
      </c>
      <c r="K32" s="1488" t="s">
        <v>1597</v>
      </c>
      <c r="L32" s="1484">
        <f>M32+N32</f>
        <v>0</v>
      </c>
      <c r="M32" s="1491"/>
      <c r="N32" s="1491">
        <f>дод.3!N84</f>
        <v>0</v>
      </c>
      <c r="O32" s="1485">
        <f>N32</f>
        <v>0</v>
      </c>
    </row>
    <row r="33" spans="1:15" ht="15.6" x14ac:dyDescent="0.25">
      <c r="A33" s="1466"/>
      <c r="B33" s="1470"/>
      <c r="C33" s="1470"/>
      <c r="D33" s="1960" t="s">
        <v>976</v>
      </c>
      <c r="E33" s="1964">
        <v>3133</v>
      </c>
      <c r="F33" s="1481"/>
      <c r="G33" s="1961" t="s">
        <v>977</v>
      </c>
      <c r="H33" s="1963" t="s">
        <v>310</v>
      </c>
      <c r="I33" s="1431"/>
      <c r="J33" s="1494"/>
      <c r="K33" s="1488"/>
      <c r="L33" s="1484">
        <f t="shared" si="0"/>
        <v>3446700</v>
      </c>
      <c r="M33" s="1491">
        <f>M34+M35</f>
        <v>3446700</v>
      </c>
      <c r="N33" s="1491"/>
      <c r="O33" s="1485"/>
    </row>
    <row r="34" spans="1:15" ht="46.2" customHeight="1" x14ac:dyDescent="0.25">
      <c r="A34" s="1466"/>
      <c r="B34" s="1470"/>
      <c r="C34" s="1470"/>
      <c r="D34" s="1960"/>
      <c r="E34" s="1964"/>
      <c r="F34" s="1481"/>
      <c r="G34" s="1961"/>
      <c r="H34" s="1963"/>
      <c r="I34" s="1431"/>
      <c r="J34" s="1483" t="s">
        <v>1611</v>
      </c>
      <c r="K34" s="1495" t="s">
        <v>1612</v>
      </c>
      <c r="L34" s="1484">
        <f t="shared" si="0"/>
        <v>1546700</v>
      </c>
      <c r="M34" s="1496">
        <f>417322+729378+400000</f>
        <v>1546700</v>
      </c>
      <c r="N34" s="1497"/>
      <c r="O34" s="1485"/>
    </row>
    <row r="35" spans="1:15" ht="55.2" x14ac:dyDescent="0.25">
      <c r="A35" s="1466"/>
      <c r="B35" s="1470"/>
      <c r="C35" s="1470"/>
      <c r="D35" s="1960"/>
      <c r="E35" s="1964"/>
      <c r="F35" s="1481"/>
      <c r="G35" s="1961"/>
      <c r="H35" s="1963"/>
      <c r="I35" s="1431"/>
      <c r="J35" s="1483" t="s">
        <v>1613</v>
      </c>
      <c r="K35" s="1495" t="s">
        <v>1614</v>
      </c>
      <c r="L35" s="1484">
        <f t="shared" si="0"/>
        <v>1900000</v>
      </c>
      <c r="M35" s="1496">
        <f>919676+906524+73800</f>
        <v>1900000</v>
      </c>
      <c r="N35" s="1497"/>
      <c r="O35" s="1485"/>
    </row>
    <row r="36" spans="1:15" ht="62.4" hidden="1" x14ac:dyDescent="0.25">
      <c r="A36" s="1466"/>
      <c r="B36" s="1470"/>
      <c r="C36" s="1470"/>
      <c r="D36" s="1480" t="s">
        <v>978</v>
      </c>
      <c r="E36" s="1492">
        <v>3140</v>
      </c>
      <c r="F36" s="1481" t="s">
        <v>1615</v>
      </c>
      <c r="G36" s="1481" t="s">
        <v>977</v>
      </c>
      <c r="H36" s="1493" t="s">
        <v>312</v>
      </c>
      <c r="I36" s="1431" t="s">
        <v>1616</v>
      </c>
      <c r="J36" s="1483" t="s">
        <v>1617</v>
      </c>
      <c r="K36" s="1495" t="s">
        <v>1618</v>
      </c>
      <c r="L36" s="1484">
        <f t="shared" si="0"/>
        <v>0</v>
      </c>
      <c r="M36" s="1491">
        <f>дод.3!E93</f>
        <v>0</v>
      </c>
      <c r="N36" s="1491"/>
      <c r="O36" s="1485"/>
    </row>
    <row r="37" spans="1:15" ht="30.6" hidden="1" customHeight="1" x14ac:dyDescent="0.25">
      <c r="A37" s="1466"/>
      <c r="B37" s="1470"/>
      <c r="C37" s="1470"/>
      <c r="D37" s="1480" t="s">
        <v>983</v>
      </c>
      <c r="E37" s="1492">
        <v>3241</v>
      </c>
      <c r="F37" s="1481" t="s">
        <v>1619</v>
      </c>
      <c r="G37" s="1481" t="s">
        <v>977</v>
      </c>
      <c r="H37" s="1498" t="s">
        <v>342</v>
      </c>
      <c r="I37" s="1431" t="s">
        <v>1620</v>
      </c>
      <c r="J37" s="1483" t="s">
        <v>1621</v>
      </c>
      <c r="K37" s="1495" t="s">
        <v>1622</v>
      </c>
      <c r="L37" s="1484">
        <f t="shared" si="0"/>
        <v>0</v>
      </c>
      <c r="M37" s="1491">
        <f>дод.3!E96</f>
        <v>0</v>
      </c>
      <c r="N37" s="1491">
        <f>дод.3!M95</f>
        <v>0</v>
      </c>
      <c r="O37" s="1485"/>
    </row>
    <row r="38" spans="1:15" ht="81" hidden="1" customHeight="1" x14ac:dyDescent="0.25">
      <c r="A38" s="1466"/>
      <c r="B38" s="1470"/>
      <c r="C38" s="1470"/>
      <c r="D38" s="1960" t="s">
        <v>985</v>
      </c>
      <c r="E38" s="1964">
        <v>3242</v>
      </c>
      <c r="F38" s="1481"/>
      <c r="G38" s="1961" t="s">
        <v>977</v>
      </c>
      <c r="H38" s="1963" t="s">
        <v>344</v>
      </c>
      <c r="I38" s="1431"/>
      <c r="J38" s="1483" t="s">
        <v>1623</v>
      </c>
      <c r="K38" s="1495" t="s">
        <v>1624</v>
      </c>
      <c r="L38" s="1484">
        <f t="shared" si="0"/>
        <v>0</v>
      </c>
      <c r="M38" s="1491"/>
      <c r="N38" s="1491"/>
      <c r="O38" s="1485"/>
    </row>
    <row r="39" spans="1:15" ht="41.4" hidden="1" x14ac:dyDescent="0.25">
      <c r="A39" s="1466"/>
      <c r="B39" s="1470"/>
      <c r="C39" s="1470"/>
      <c r="D39" s="1960"/>
      <c r="E39" s="1964"/>
      <c r="F39" s="1481"/>
      <c r="G39" s="1961"/>
      <c r="H39" s="1963"/>
      <c r="I39" s="1431"/>
      <c r="J39" s="1499" t="s">
        <v>1625</v>
      </c>
      <c r="K39" s="1492" t="s">
        <v>1626</v>
      </c>
      <c r="L39" s="1484">
        <f t="shared" si="0"/>
        <v>0</v>
      </c>
      <c r="M39" s="1491"/>
      <c r="N39" s="1491"/>
      <c r="O39" s="1485"/>
    </row>
    <row r="40" spans="1:15" ht="41.4" hidden="1" x14ac:dyDescent="0.25">
      <c r="A40" s="1466"/>
      <c r="B40" s="1470"/>
      <c r="C40" s="1470"/>
      <c r="D40" s="1480" t="s">
        <v>979</v>
      </c>
      <c r="E40" s="1492">
        <v>3230</v>
      </c>
      <c r="F40" s="1481"/>
      <c r="G40" s="1481" t="s">
        <v>980</v>
      </c>
      <c r="H40" s="1493" t="s">
        <v>981</v>
      </c>
      <c r="I40" s="1431"/>
      <c r="J40" s="1489" t="s">
        <v>1600</v>
      </c>
      <c r="K40" s="1488" t="s">
        <v>1627</v>
      </c>
      <c r="L40" s="1484">
        <f t="shared" si="0"/>
        <v>0</v>
      </c>
      <c r="M40" s="1491"/>
      <c r="N40" s="1491"/>
      <c r="O40" s="1485"/>
    </row>
    <row r="41" spans="1:15" ht="15.6" x14ac:dyDescent="0.25">
      <c r="A41" s="1466"/>
      <c r="B41" s="1470"/>
      <c r="C41" s="1470"/>
      <c r="D41" s="1945" t="s">
        <v>987</v>
      </c>
      <c r="E41" s="1947">
        <v>4030</v>
      </c>
      <c r="F41" s="1481"/>
      <c r="G41" s="1949" t="s">
        <v>988</v>
      </c>
      <c r="H41" s="1957" t="s">
        <v>361</v>
      </c>
      <c r="I41" s="1431"/>
      <c r="J41" s="1500"/>
      <c r="K41" s="1501"/>
      <c r="L41" s="1484">
        <f>M41+N41</f>
        <v>21025390</v>
      </c>
      <c r="M41" s="1502">
        <f>M42+M43</f>
        <v>21025390</v>
      </c>
      <c r="N41" s="1503">
        <f>N42+N43</f>
        <v>0</v>
      </c>
      <c r="O41" s="1502">
        <f>O42+O43</f>
        <v>0</v>
      </c>
    </row>
    <row r="42" spans="1:15" ht="27.6" x14ac:dyDescent="0.25">
      <c r="A42" s="1466"/>
      <c r="B42" s="1470"/>
      <c r="C42" s="1470"/>
      <c r="D42" s="1946"/>
      <c r="E42" s="1948"/>
      <c r="F42" s="1481"/>
      <c r="G42" s="1950"/>
      <c r="H42" s="1958"/>
      <c r="I42" s="1431"/>
      <c r="J42" s="1500" t="s">
        <v>1628</v>
      </c>
      <c r="K42" s="1492" t="s">
        <v>1629</v>
      </c>
      <c r="L42" s="1484">
        <f>M42+N42</f>
        <v>21025390</v>
      </c>
      <c r="M42" s="1491">
        <f>дод.3!E99</f>
        <v>21025390</v>
      </c>
      <c r="N42" s="1491"/>
      <c r="O42" s="1485"/>
    </row>
    <row r="43" spans="1:15" ht="41.4" hidden="1" x14ac:dyDescent="0.25">
      <c r="A43" s="1466"/>
      <c r="B43" s="1470"/>
      <c r="C43" s="1470"/>
      <c r="D43" s="1953"/>
      <c r="E43" s="1954"/>
      <c r="F43" s="1481"/>
      <c r="G43" s="1955"/>
      <c r="H43" s="1959"/>
      <c r="I43" s="1431"/>
      <c r="J43" s="1489" t="s">
        <v>1596</v>
      </c>
      <c r="K43" s="1488" t="s">
        <v>1597</v>
      </c>
      <c r="L43" s="1484">
        <f>M43+N43</f>
        <v>0</v>
      </c>
      <c r="M43" s="1491"/>
      <c r="N43" s="1491">
        <f>дод.3!N99</f>
        <v>0</v>
      </c>
      <c r="O43" s="1485">
        <f>N43</f>
        <v>0</v>
      </c>
    </row>
    <row r="44" spans="1:15" ht="59.25" customHeight="1" x14ac:dyDescent="0.25">
      <c r="A44" s="1466"/>
      <c r="B44" s="1470"/>
      <c r="C44" s="1470"/>
      <c r="D44" s="1480" t="s">
        <v>989</v>
      </c>
      <c r="E44" s="1492">
        <v>4040</v>
      </c>
      <c r="F44" s="1481"/>
      <c r="G44" s="1481" t="s">
        <v>988</v>
      </c>
      <c r="H44" s="1498" t="s">
        <v>363</v>
      </c>
      <c r="I44" s="1431"/>
      <c r="J44" s="1500" t="s">
        <v>1628</v>
      </c>
      <c r="K44" s="1492" t="s">
        <v>1629</v>
      </c>
      <c r="L44" s="1484">
        <f t="shared" si="0"/>
        <v>2390573</v>
      </c>
      <c r="M44" s="1491">
        <f>дод.3!E100</f>
        <v>2390573</v>
      </c>
      <c r="N44" s="1491"/>
      <c r="O44" s="1485"/>
    </row>
    <row r="45" spans="1:15" ht="15.6" x14ac:dyDescent="0.25">
      <c r="A45" s="1466"/>
      <c r="B45" s="1470"/>
      <c r="C45" s="1470"/>
      <c r="D45" s="1945" t="s">
        <v>990</v>
      </c>
      <c r="E45" s="1947">
        <v>4060</v>
      </c>
      <c r="F45" s="1481"/>
      <c r="G45" s="1949" t="s">
        <v>991</v>
      </c>
      <c r="H45" s="1957" t="s">
        <v>365</v>
      </c>
      <c r="I45" s="1431"/>
      <c r="J45" s="1486"/>
      <c r="K45" s="1492"/>
      <c r="L45" s="1484">
        <f>L46+L47</f>
        <v>12132648</v>
      </c>
      <c r="M45" s="1504">
        <f>M46+M47</f>
        <v>12132648</v>
      </c>
      <c r="N45" s="1504">
        <f>N46+N47</f>
        <v>0</v>
      </c>
      <c r="O45" s="1504">
        <f>O46+O47</f>
        <v>0</v>
      </c>
    </row>
    <row r="46" spans="1:15" ht="27.6" x14ac:dyDescent="0.25">
      <c r="A46" s="1466"/>
      <c r="B46" s="1470"/>
      <c r="C46" s="1470"/>
      <c r="D46" s="1946"/>
      <c r="E46" s="1948"/>
      <c r="F46" s="1481"/>
      <c r="G46" s="1950"/>
      <c r="H46" s="1958"/>
      <c r="I46" s="1431"/>
      <c r="J46" s="1500" t="s">
        <v>1628</v>
      </c>
      <c r="K46" s="1492" t="s">
        <v>1629</v>
      </c>
      <c r="L46" s="1484">
        <f>M46+N46</f>
        <v>12132648</v>
      </c>
      <c r="M46" s="1491">
        <f>дод.3!E101</f>
        <v>12132648</v>
      </c>
      <c r="N46" s="1491"/>
      <c r="O46" s="1485"/>
    </row>
    <row r="47" spans="1:15" ht="59.25" hidden="1" customHeight="1" x14ac:dyDescent="0.25">
      <c r="A47" s="1466"/>
      <c r="B47" s="1470"/>
      <c r="C47" s="1470"/>
      <c r="D47" s="1953"/>
      <c r="E47" s="1954"/>
      <c r="F47" s="1481"/>
      <c r="G47" s="1955"/>
      <c r="H47" s="1959"/>
      <c r="I47" s="1431"/>
      <c r="J47" s="1489" t="s">
        <v>1596</v>
      </c>
      <c r="K47" s="1488" t="s">
        <v>1597</v>
      </c>
      <c r="L47" s="1484">
        <f>M47+N47</f>
        <v>0</v>
      </c>
      <c r="M47" s="1491"/>
      <c r="N47" s="1491">
        <f>дод.3!N101</f>
        <v>0</v>
      </c>
      <c r="O47" s="1485">
        <f>N47</f>
        <v>0</v>
      </c>
    </row>
    <row r="48" spans="1:15" ht="31.2" x14ac:dyDescent="0.25">
      <c r="A48" s="1466"/>
      <c r="B48" s="1470"/>
      <c r="C48" s="1470"/>
      <c r="D48" s="1480" t="s">
        <v>993</v>
      </c>
      <c r="E48" s="1481" t="s">
        <v>370</v>
      </c>
      <c r="F48" s="1961">
        <v>110502</v>
      </c>
      <c r="G48" s="1481" t="s">
        <v>994</v>
      </c>
      <c r="H48" s="1505" t="s">
        <v>995</v>
      </c>
      <c r="I48" s="1968" t="s">
        <v>1630</v>
      </c>
      <c r="J48" s="1500" t="s">
        <v>1628</v>
      </c>
      <c r="K48" s="1492" t="s">
        <v>1629</v>
      </c>
      <c r="L48" s="1484">
        <f t="shared" si="0"/>
        <v>17322912</v>
      </c>
      <c r="M48" s="1491">
        <f>17322912</f>
        <v>17322912</v>
      </c>
      <c r="N48" s="1491"/>
      <c r="O48" s="1491"/>
    </row>
    <row r="49" spans="1:17" ht="13.8" x14ac:dyDescent="0.25">
      <c r="A49" s="1466"/>
      <c r="B49" s="1470"/>
      <c r="C49" s="1470"/>
      <c r="D49" s="1945" t="s">
        <v>996</v>
      </c>
      <c r="E49" s="1949" t="s">
        <v>372</v>
      </c>
      <c r="F49" s="1961"/>
      <c r="G49" s="1949" t="s">
        <v>994</v>
      </c>
      <c r="H49" s="1970" t="s">
        <v>371</v>
      </c>
      <c r="I49" s="1968"/>
      <c r="J49" s="1486"/>
      <c r="K49" s="1492"/>
      <c r="L49" s="1484">
        <f>L50+L52+L53+L54</f>
        <v>3334287</v>
      </c>
      <c r="M49" s="1491">
        <f>M50+M52+M53+M54</f>
        <v>3334287</v>
      </c>
      <c r="N49" s="1491">
        <f>N50+N52+N53+N54</f>
        <v>0</v>
      </c>
      <c r="O49" s="1491">
        <f>O50+O52+O53+O54</f>
        <v>0</v>
      </c>
    </row>
    <row r="50" spans="1:17" ht="27.6" x14ac:dyDescent="0.25">
      <c r="A50" s="1466"/>
      <c r="B50" s="1470"/>
      <c r="C50" s="1470"/>
      <c r="D50" s="1946"/>
      <c r="E50" s="1950"/>
      <c r="F50" s="1961"/>
      <c r="G50" s="1950"/>
      <c r="H50" s="1971"/>
      <c r="I50" s="1969"/>
      <c r="J50" s="1500" t="s">
        <v>1628</v>
      </c>
      <c r="K50" s="1492" t="s">
        <v>1629</v>
      </c>
      <c r="L50" s="1484">
        <f>M50+N50</f>
        <v>1554580</v>
      </c>
      <c r="M50" s="1491">
        <f>1054580+500000</f>
        <v>1554580</v>
      </c>
      <c r="N50" s="1491"/>
      <c r="O50" s="1491">
        <f>N50</f>
        <v>0</v>
      </c>
    </row>
    <row r="51" spans="1:17" ht="42.75" hidden="1" customHeight="1" x14ac:dyDescent="0.25">
      <c r="A51" s="1466"/>
      <c r="B51" s="1470"/>
      <c r="C51" s="1470"/>
      <c r="D51" s="1946"/>
      <c r="E51" s="1950"/>
      <c r="F51" s="1961"/>
      <c r="G51" s="1950"/>
      <c r="H51" s="1971"/>
      <c r="I51" s="1969"/>
      <c r="J51" s="1483" t="s">
        <v>1631</v>
      </c>
      <c r="K51" s="1506" t="s">
        <v>1632</v>
      </c>
      <c r="L51" s="1484">
        <f t="shared" si="0"/>
        <v>0</v>
      </c>
      <c r="M51" s="1491"/>
      <c r="N51" s="1491"/>
      <c r="O51" s="1491"/>
      <c r="Q51" s="1507"/>
    </row>
    <row r="52" spans="1:17" ht="33.6" customHeight="1" x14ac:dyDescent="0.25">
      <c r="A52" s="1466"/>
      <c r="B52" s="1470"/>
      <c r="C52" s="1470"/>
      <c r="D52" s="1946"/>
      <c r="E52" s="1950"/>
      <c r="F52" s="1961"/>
      <c r="G52" s="1950"/>
      <c r="H52" s="1971"/>
      <c r="I52" s="1969"/>
      <c r="J52" s="1483" t="s">
        <v>1633</v>
      </c>
      <c r="K52" s="1506" t="s">
        <v>1634</v>
      </c>
      <c r="L52" s="1484">
        <f t="shared" si="0"/>
        <v>810000</v>
      </c>
      <c r="M52" s="1491">
        <v>810000</v>
      </c>
      <c r="N52" s="1491"/>
      <c r="O52" s="1491"/>
    </row>
    <row r="53" spans="1:17" ht="41.4" x14ac:dyDescent="0.25">
      <c r="A53" s="1466"/>
      <c r="B53" s="1470"/>
      <c r="C53" s="1470"/>
      <c r="D53" s="1946"/>
      <c r="E53" s="1950"/>
      <c r="F53" s="1961"/>
      <c r="G53" s="1950"/>
      <c r="H53" s="1971"/>
      <c r="I53" s="1969"/>
      <c r="J53" s="1499" t="s">
        <v>1635</v>
      </c>
      <c r="K53" s="1492" t="s">
        <v>1636</v>
      </c>
      <c r="L53" s="1484">
        <f t="shared" si="0"/>
        <v>956018</v>
      </c>
      <c r="M53" s="1491">
        <f>556018+400000</f>
        <v>956018</v>
      </c>
      <c r="N53" s="1491"/>
      <c r="O53" s="1491"/>
    </row>
    <row r="54" spans="1:17" ht="84" customHeight="1" x14ac:dyDescent="0.25">
      <c r="A54" s="1466"/>
      <c r="B54" s="1470"/>
      <c r="C54" s="1470"/>
      <c r="D54" s="1953"/>
      <c r="E54" s="1955"/>
      <c r="F54" s="1961"/>
      <c r="G54" s="1955"/>
      <c r="H54" s="1972"/>
      <c r="I54" s="1969"/>
      <c r="J54" s="1483" t="s">
        <v>1605</v>
      </c>
      <c r="K54" s="1495" t="s">
        <v>1606</v>
      </c>
      <c r="L54" s="1484">
        <f t="shared" si="0"/>
        <v>13689</v>
      </c>
      <c r="M54" s="1491">
        <v>13689</v>
      </c>
      <c r="N54" s="1491"/>
      <c r="O54" s="1491"/>
    </row>
    <row r="55" spans="1:17" ht="13.8" x14ac:dyDescent="0.25">
      <c r="A55" s="1466"/>
      <c r="B55" s="1470"/>
      <c r="C55" s="1470"/>
      <c r="D55" s="1960" t="s">
        <v>999</v>
      </c>
      <c r="E55" s="1964">
        <v>5011</v>
      </c>
      <c r="F55" s="1481"/>
      <c r="G55" s="1961" t="s">
        <v>1000</v>
      </c>
      <c r="H55" s="1963" t="s">
        <v>1001</v>
      </c>
      <c r="I55" s="1508"/>
      <c r="J55" s="1483"/>
      <c r="K55" s="1495"/>
      <c r="L55" s="1484">
        <f t="shared" si="0"/>
        <v>519062</v>
      </c>
      <c r="M55" s="1491">
        <f>M56+M57+M59+M58</f>
        <v>519062</v>
      </c>
      <c r="N55" s="1491"/>
      <c r="O55" s="1491"/>
    </row>
    <row r="56" spans="1:17" ht="31.2" hidden="1" x14ac:dyDescent="0.25">
      <c r="A56" s="1466"/>
      <c r="B56" s="1470"/>
      <c r="C56" s="1470"/>
      <c r="D56" s="1960"/>
      <c r="E56" s="1964"/>
      <c r="F56" s="1481" t="s">
        <v>1637</v>
      </c>
      <c r="G56" s="1961"/>
      <c r="H56" s="1963"/>
      <c r="I56" s="1431" t="s">
        <v>1638</v>
      </c>
      <c r="J56" s="1509" t="s">
        <v>1639</v>
      </c>
      <c r="K56" s="1506" t="s">
        <v>1640</v>
      </c>
      <c r="L56" s="1484">
        <f t="shared" si="0"/>
        <v>0</v>
      </c>
      <c r="M56" s="1491"/>
      <c r="N56" s="1491"/>
      <c r="O56" s="1491"/>
    </row>
    <row r="57" spans="1:17" ht="49.2" hidden="1" customHeight="1" x14ac:dyDescent="0.25">
      <c r="A57" s="1466"/>
      <c r="B57" s="1470"/>
      <c r="C57" s="1470"/>
      <c r="D57" s="1960"/>
      <c r="E57" s="1964"/>
      <c r="F57" s="1481"/>
      <c r="G57" s="1961"/>
      <c r="H57" s="1963"/>
      <c r="I57" s="1431"/>
      <c r="J57" s="1493" t="s">
        <v>1641</v>
      </c>
      <c r="K57" s="1506" t="s">
        <v>1642</v>
      </c>
      <c r="L57" s="1484">
        <f t="shared" si="0"/>
        <v>0</v>
      </c>
      <c r="M57" s="1491"/>
      <c r="N57" s="1491"/>
      <c r="O57" s="1491"/>
    </row>
    <row r="58" spans="1:17" ht="49.2" customHeight="1" x14ac:dyDescent="0.25">
      <c r="A58" s="1466"/>
      <c r="B58" s="1470"/>
      <c r="C58" s="1470"/>
      <c r="D58" s="1960"/>
      <c r="E58" s="1964"/>
      <c r="F58" s="1481"/>
      <c r="G58" s="1961"/>
      <c r="H58" s="1963"/>
      <c r="I58" s="1431"/>
      <c r="J58" s="1493" t="s">
        <v>1643</v>
      </c>
      <c r="K58" s="1506" t="s">
        <v>1644</v>
      </c>
      <c r="L58" s="1484">
        <f t="shared" si="0"/>
        <v>117823</v>
      </c>
      <c r="M58" s="1491">
        <v>117823</v>
      </c>
      <c r="N58" s="1491"/>
      <c r="O58" s="1491"/>
    </row>
    <row r="59" spans="1:17" ht="44.4" customHeight="1" x14ac:dyDescent="0.25">
      <c r="A59" s="1466"/>
      <c r="B59" s="1470"/>
      <c r="C59" s="1470"/>
      <c r="D59" s="1960"/>
      <c r="E59" s="1964"/>
      <c r="F59" s="1481"/>
      <c r="G59" s="1961"/>
      <c r="H59" s="1963"/>
      <c r="I59" s="1431"/>
      <c r="J59" s="1493" t="s">
        <v>1645</v>
      </c>
      <c r="K59" s="1506" t="s">
        <v>1646</v>
      </c>
      <c r="L59" s="1484">
        <f t="shared" si="0"/>
        <v>401239</v>
      </c>
      <c r="M59" s="1491">
        <v>401239</v>
      </c>
      <c r="N59" s="1491"/>
      <c r="O59" s="1491"/>
    </row>
    <row r="60" spans="1:17" ht="45.6" customHeight="1" x14ac:dyDescent="0.25">
      <c r="A60" s="1466"/>
      <c r="B60" s="1470"/>
      <c r="C60" s="1470"/>
      <c r="D60" s="1480" t="s">
        <v>1002</v>
      </c>
      <c r="E60" s="1492">
        <v>5012</v>
      </c>
      <c r="F60" s="1481"/>
      <c r="G60" s="1481" t="s">
        <v>1000</v>
      </c>
      <c r="H60" s="1493" t="s">
        <v>1003</v>
      </c>
      <c r="I60" s="1431"/>
      <c r="J60" s="1493" t="s">
        <v>1645</v>
      </c>
      <c r="K60" s="1506" t="s">
        <v>1646</v>
      </c>
      <c r="L60" s="1484">
        <f t="shared" si="0"/>
        <v>144984</v>
      </c>
      <c r="M60" s="1491">
        <f>дод.3!E108</f>
        <v>144984</v>
      </c>
      <c r="N60" s="1491"/>
      <c r="O60" s="1491"/>
    </row>
    <row r="61" spans="1:17" ht="15.6" x14ac:dyDescent="0.25">
      <c r="A61" s="1466"/>
      <c r="B61" s="1470"/>
      <c r="C61" s="1470"/>
      <c r="D61" s="1945" t="s">
        <v>1006</v>
      </c>
      <c r="E61" s="1947">
        <v>5031</v>
      </c>
      <c r="F61" s="1481"/>
      <c r="G61" s="1949" t="s">
        <v>1000</v>
      </c>
      <c r="H61" s="1957" t="s">
        <v>1007</v>
      </c>
      <c r="I61" s="1431"/>
      <c r="J61" s="1493"/>
      <c r="K61" s="1506"/>
      <c r="L61" s="1484">
        <f>L62+L63+L65+L64</f>
        <v>79693060</v>
      </c>
      <c r="M61" s="1491">
        <f>M62+M63+M65</f>
        <v>79693060</v>
      </c>
      <c r="N61" s="1491">
        <f>N64</f>
        <v>0</v>
      </c>
      <c r="O61" s="1491">
        <f>O64</f>
        <v>0</v>
      </c>
    </row>
    <row r="62" spans="1:17" ht="43.2" hidden="1" customHeight="1" x14ac:dyDescent="0.25">
      <c r="A62" s="1466"/>
      <c r="B62" s="1470"/>
      <c r="C62" s="1470"/>
      <c r="D62" s="1946"/>
      <c r="E62" s="1948"/>
      <c r="F62" s="1481"/>
      <c r="G62" s="1950"/>
      <c r="H62" s="1958"/>
      <c r="I62" s="1431"/>
      <c r="J62" s="1493" t="s">
        <v>1641</v>
      </c>
      <c r="K62" s="1506" t="s">
        <v>1642</v>
      </c>
      <c r="L62" s="1484">
        <f t="shared" si="0"/>
        <v>0</v>
      </c>
      <c r="M62" s="1491"/>
      <c r="N62" s="1491"/>
      <c r="O62" s="1491"/>
    </row>
    <row r="63" spans="1:17" ht="78" customHeight="1" x14ac:dyDescent="0.25">
      <c r="A63" s="1466"/>
      <c r="B63" s="1470"/>
      <c r="C63" s="1470"/>
      <c r="D63" s="1946"/>
      <c r="E63" s="1948"/>
      <c r="F63" s="1481"/>
      <c r="G63" s="1950"/>
      <c r="H63" s="1958"/>
      <c r="I63" s="1431"/>
      <c r="J63" s="1483" t="str">
        <f>J54</f>
        <v>Міська програма забезпечення проведення профілактичних медичних оглядів працівників установ та закладів освіти, культури, фізичної культури і спорту, підпорядкованих департаменту освіти та гуманітарної політики ЧМР на 2023-2027 роки</v>
      </c>
      <c r="K63" s="1495" t="s">
        <v>1606</v>
      </c>
      <c r="L63" s="1484">
        <f t="shared" si="0"/>
        <v>92659</v>
      </c>
      <c r="M63" s="1491">
        <v>92659</v>
      </c>
      <c r="N63" s="1491"/>
      <c r="O63" s="1491"/>
    </row>
    <row r="64" spans="1:17" ht="41.4" hidden="1" x14ac:dyDescent="0.25">
      <c r="A64" s="1466"/>
      <c r="B64" s="1470"/>
      <c r="C64" s="1470"/>
      <c r="D64" s="1946"/>
      <c r="E64" s="1948"/>
      <c r="F64" s="1481"/>
      <c r="G64" s="1950"/>
      <c r="H64" s="1958"/>
      <c r="I64" s="1431"/>
      <c r="J64" s="1490" t="s">
        <v>1596</v>
      </c>
      <c r="K64" s="1488" t="s">
        <v>1597</v>
      </c>
      <c r="L64" s="1484">
        <f t="shared" si="0"/>
        <v>0</v>
      </c>
      <c r="M64" s="1491"/>
      <c r="N64" s="1491">
        <f>дод.3!N110</f>
        <v>0</v>
      </c>
      <c r="O64" s="1491">
        <f>N64</f>
        <v>0</v>
      </c>
    </row>
    <row r="65" spans="1:15" ht="49.2" customHeight="1" x14ac:dyDescent="0.25">
      <c r="A65" s="1466"/>
      <c r="B65" s="1470"/>
      <c r="C65" s="1470"/>
      <c r="D65" s="1953"/>
      <c r="E65" s="1954"/>
      <c r="F65" s="1481"/>
      <c r="G65" s="1955"/>
      <c r="H65" s="1959"/>
      <c r="I65" s="1431"/>
      <c r="J65" s="1493" t="s">
        <v>1645</v>
      </c>
      <c r="K65" s="1506" t="s">
        <v>1646</v>
      </c>
      <c r="L65" s="1484">
        <f t="shared" si="0"/>
        <v>79600401</v>
      </c>
      <c r="M65" s="1491">
        <f>76400401+3200000</f>
        <v>79600401</v>
      </c>
      <c r="N65" s="1491"/>
      <c r="O65" s="1491"/>
    </row>
    <row r="66" spans="1:15" ht="15.6" x14ac:dyDescent="0.25">
      <c r="A66" s="1466"/>
      <c r="B66" s="1470"/>
      <c r="C66" s="1470"/>
      <c r="D66" s="1945" t="s">
        <v>1011</v>
      </c>
      <c r="E66" s="1947">
        <v>5041</v>
      </c>
      <c r="F66" s="1481"/>
      <c r="G66" s="1949" t="s">
        <v>1000</v>
      </c>
      <c r="H66" s="1957" t="s">
        <v>1012</v>
      </c>
      <c r="I66" s="1431"/>
      <c r="J66" s="1493"/>
      <c r="K66" s="1506"/>
      <c r="L66" s="1484">
        <f>SUM(L67:L68)</f>
        <v>17241661</v>
      </c>
      <c r="M66" s="1503">
        <f>SUM(M67:M68)</f>
        <v>17241661</v>
      </c>
      <c r="N66" s="1503">
        <f>SUM(N67:N68)</f>
        <v>0</v>
      </c>
      <c r="O66" s="1503">
        <f>SUM(O67:O68)</f>
        <v>0</v>
      </c>
    </row>
    <row r="67" spans="1:15" ht="49.2" customHeight="1" x14ac:dyDescent="0.25">
      <c r="A67" s="1466"/>
      <c r="B67" s="1470"/>
      <c r="C67" s="1470"/>
      <c r="D67" s="1946"/>
      <c r="E67" s="1948"/>
      <c r="F67" s="1481"/>
      <c r="G67" s="1950"/>
      <c r="H67" s="1958"/>
      <c r="I67" s="1431"/>
      <c r="J67" s="1493" t="s">
        <v>1645</v>
      </c>
      <c r="K67" s="1506" t="s">
        <v>1646</v>
      </c>
      <c r="L67" s="1484">
        <f>M67+N67</f>
        <v>17241661</v>
      </c>
      <c r="M67" s="1491">
        <f>дод.3!E114</f>
        <v>17241661</v>
      </c>
      <c r="N67" s="1491"/>
      <c r="O67" s="1491"/>
    </row>
    <row r="68" spans="1:15" ht="41.4" hidden="1" x14ac:dyDescent="0.25">
      <c r="A68" s="1466"/>
      <c r="B68" s="1470"/>
      <c r="C68" s="1470"/>
      <c r="D68" s="1953"/>
      <c r="E68" s="1954"/>
      <c r="F68" s="1481"/>
      <c r="G68" s="1955"/>
      <c r="H68" s="1959"/>
      <c r="I68" s="1431"/>
      <c r="J68" s="1490" t="s">
        <v>1596</v>
      </c>
      <c r="K68" s="1488" t="s">
        <v>1597</v>
      </c>
      <c r="L68" s="1484">
        <f>M68+N68</f>
        <v>0</v>
      </c>
      <c r="M68" s="1491"/>
      <c r="N68" s="1491">
        <f>дод.3!N114</f>
        <v>0</v>
      </c>
      <c r="O68" s="1491">
        <f>N68</f>
        <v>0</v>
      </c>
    </row>
    <row r="69" spans="1:15" ht="16.2" customHeight="1" x14ac:dyDescent="0.25">
      <c r="A69" s="1466"/>
      <c r="B69" s="1470"/>
      <c r="C69" s="1470"/>
      <c r="D69" s="1945" t="s">
        <v>1018</v>
      </c>
      <c r="E69" s="1947">
        <v>5062</v>
      </c>
      <c r="F69" s="1481"/>
      <c r="G69" s="1949" t="s">
        <v>1000</v>
      </c>
      <c r="H69" s="1957" t="s">
        <v>1019</v>
      </c>
      <c r="I69" s="1431"/>
      <c r="J69" s="1493"/>
      <c r="K69" s="1506"/>
      <c r="L69" s="1484">
        <f>L70+L71</f>
        <v>22481139</v>
      </c>
      <c r="M69" s="1491">
        <f>M70+M71</f>
        <v>22481139</v>
      </c>
      <c r="N69" s="1491"/>
      <c r="O69" s="1491"/>
    </row>
    <row r="70" spans="1:15" ht="49.8" customHeight="1" x14ac:dyDescent="0.25">
      <c r="A70" s="1466"/>
      <c r="B70" s="1470"/>
      <c r="C70" s="1470"/>
      <c r="D70" s="1946"/>
      <c r="E70" s="1948"/>
      <c r="F70" s="1481"/>
      <c r="G70" s="1950"/>
      <c r="H70" s="1958"/>
      <c r="I70" s="1431"/>
      <c r="J70" s="1487" t="s">
        <v>1590</v>
      </c>
      <c r="K70" s="1488" t="s">
        <v>1591</v>
      </c>
      <c r="L70" s="1484">
        <f t="shared" si="0"/>
        <v>1221250</v>
      </c>
      <c r="M70" s="1491">
        <v>1221250</v>
      </c>
      <c r="N70" s="1491"/>
      <c r="O70" s="1491"/>
    </row>
    <row r="71" spans="1:15" ht="45.75" customHeight="1" x14ac:dyDescent="0.25">
      <c r="A71" s="1466"/>
      <c r="B71" s="1470"/>
      <c r="C71" s="1470"/>
      <c r="D71" s="1953"/>
      <c r="E71" s="1954"/>
      <c r="F71" s="1481"/>
      <c r="G71" s="1955"/>
      <c r="H71" s="1959"/>
      <c r="I71" s="1431"/>
      <c r="J71" s="1510" t="s">
        <v>1645</v>
      </c>
      <c r="K71" s="1506" t="s">
        <v>1646</v>
      </c>
      <c r="L71" s="1484">
        <f t="shared" si="0"/>
        <v>21259889</v>
      </c>
      <c r="M71" s="1491">
        <f>22481139-1221250</f>
        <v>21259889</v>
      </c>
      <c r="N71" s="1491"/>
      <c r="O71" s="1491"/>
    </row>
    <row r="72" spans="1:15" ht="45.75" customHeight="1" x14ac:dyDescent="0.25">
      <c r="A72" s="1466"/>
      <c r="B72" s="1470"/>
      <c r="C72" s="1470"/>
      <c r="D72" s="1480" t="s">
        <v>1020</v>
      </c>
      <c r="E72" s="1492">
        <v>5063</v>
      </c>
      <c r="F72" s="1481"/>
      <c r="G72" s="1481" t="s">
        <v>1000</v>
      </c>
      <c r="H72" s="1493" t="s">
        <v>1021</v>
      </c>
      <c r="I72" s="1431"/>
      <c r="J72" s="1510" t="s">
        <v>1645</v>
      </c>
      <c r="K72" s="1506" t="s">
        <v>1646</v>
      </c>
      <c r="L72" s="1484">
        <f t="shared" si="0"/>
        <v>2330500</v>
      </c>
      <c r="M72" s="1491">
        <f>дод.3!E119</f>
        <v>2330500</v>
      </c>
      <c r="N72" s="1491"/>
      <c r="O72" s="1491"/>
    </row>
    <row r="73" spans="1:15" ht="42.6" hidden="1" customHeight="1" x14ac:dyDescent="0.25">
      <c r="A73" s="1466"/>
      <c r="B73" s="1470"/>
      <c r="C73" s="1470"/>
      <c r="D73" s="1945" t="s">
        <v>1022</v>
      </c>
      <c r="E73" s="1947">
        <v>7321</v>
      </c>
      <c r="F73" s="1481"/>
      <c r="G73" s="1949" t="s">
        <v>1023</v>
      </c>
      <c r="H73" s="1957" t="s">
        <v>425</v>
      </c>
      <c r="I73" s="1431"/>
      <c r="J73" s="1489" t="s">
        <v>1607</v>
      </c>
      <c r="K73" s="1488" t="s">
        <v>1608</v>
      </c>
      <c r="L73" s="1484">
        <f t="shared" si="0"/>
        <v>0</v>
      </c>
      <c r="M73" s="1491"/>
      <c r="N73" s="1491"/>
      <c r="O73" s="1491">
        <f>N73</f>
        <v>0</v>
      </c>
    </row>
    <row r="74" spans="1:15" ht="42.6" hidden="1" customHeight="1" x14ac:dyDescent="0.25">
      <c r="A74" s="1466"/>
      <c r="B74" s="1470"/>
      <c r="C74" s="1470"/>
      <c r="D74" s="1953"/>
      <c r="E74" s="1954"/>
      <c r="F74" s="1481"/>
      <c r="G74" s="1955"/>
      <c r="H74" s="1959"/>
      <c r="I74" s="1431"/>
      <c r="J74" s="1489" t="s">
        <v>1600</v>
      </c>
      <c r="K74" s="1488" t="s">
        <v>1627</v>
      </c>
      <c r="L74" s="1484">
        <f t="shared" si="0"/>
        <v>0</v>
      </c>
      <c r="M74" s="1491"/>
      <c r="N74" s="1491"/>
      <c r="O74" s="1491">
        <f>N74</f>
        <v>0</v>
      </c>
    </row>
    <row r="75" spans="1:15" ht="32.4" hidden="1" customHeight="1" x14ac:dyDescent="0.25">
      <c r="A75" s="1466"/>
      <c r="B75" s="1470"/>
      <c r="C75" s="1470"/>
      <c r="D75" s="1511" t="s">
        <v>1034</v>
      </c>
      <c r="E75" s="1512">
        <v>7325</v>
      </c>
      <c r="F75" s="1481"/>
      <c r="G75" s="1513" t="s">
        <v>1023</v>
      </c>
      <c r="H75" s="1514" t="s">
        <v>1035</v>
      </c>
      <c r="I75" s="1431"/>
      <c r="J75" s="1489" t="s">
        <v>1645</v>
      </c>
      <c r="K75" s="1488" t="s">
        <v>1646</v>
      </c>
      <c r="L75" s="1484">
        <f t="shared" si="0"/>
        <v>0</v>
      </c>
      <c r="M75" s="1491"/>
      <c r="N75" s="1491"/>
      <c r="O75" s="1491">
        <f>N75</f>
        <v>0</v>
      </c>
    </row>
    <row r="76" spans="1:15" ht="69.75" customHeight="1" x14ac:dyDescent="0.25">
      <c r="A76" s="1466"/>
      <c r="B76" s="1470" t="s">
        <v>1647</v>
      </c>
      <c r="C76" s="1470"/>
      <c r="D76" s="1480" t="s">
        <v>1028</v>
      </c>
      <c r="E76" s="1492">
        <v>6084</v>
      </c>
      <c r="F76" s="1481" t="s">
        <v>1648</v>
      </c>
      <c r="G76" s="1481" t="s">
        <v>1118</v>
      </c>
      <c r="H76" s="1493" t="s">
        <v>1029</v>
      </c>
      <c r="I76" s="1486" t="s">
        <v>1504</v>
      </c>
      <c r="J76" s="1515" t="s">
        <v>1649</v>
      </c>
      <c r="K76" s="1516" t="s">
        <v>1650</v>
      </c>
      <c r="L76" s="1484">
        <f t="shared" si="0"/>
        <v>210000</v>
      </c>
      <c r="M76" s="1485">
        <f>дод.3!E123</f>
        <v>104009</v>
      </c>
      <c r="N76" s="1485">
        <f>дод.3!M123</f>
        <v>105991</v>
      </c>
      <c r="O76" s="1491"/>
    </row>
    <row r="77" spans="1:15" ht="69.75" hidden="1" customHeight="1" x14ac:dyDescent="0.25">
      <c r="A77" s="1466"/>
      <c r="B77" s="1470"/>
      <c r="C77" s="1470"/>
      <c r="D77" s="1480" t="s">
        <v>1022</v>
      </c>
      <c r="E77" s="1492">
        <v>7321</v>
      </c>
      <c r="F77" s="1481"/>
      <c r="G77" s="1481" t="s">
        <v>1023</v>
      </c>
      <c r="H77" s="1493" t="s">
        <v>425</v>
      </c>
      <c r="I77" s="1486"/>
      <c r="J77" s="1490" t="s">
        <v>1596</v>
      </c>
      <c r="K77" s="1488" t="s">
        <v>1597</v>
      </c>
      <c r="L77" s="1484">
        <f t="shared" si="0"/>
        <v>0</v>
      </c>
      <c r="M77" s="1485"/>
      <c r="N77" s="1485">
        <f>дод.3!N124</f>
        <v>0</v>
      </c>
      <c r="O77" s="1491">
        <f>N77</f>
        <v>0</v>
      </c>
    </row>
    <row r="78" spans="1:15" ht="50.4" customHeight="1" x14ac:dyDescent="0.25">
      <c r="A78" s="1466"/>
      <c r="B78" s="1470"/>
      <c r="C78" s="1470"/>
      <c r="D78" s="1480" t="s">
        <v>1045</v>
      </c>
      <c r="E78" s="1481" t="s">
        <v>446</v>
      </c>
      <c r="F78" s="1480"/>
      <c r="G78" s="1481" t="s">
        <v>1046</v>
      </c>
      <c r="H78" s="1431" t="s">
        <v>1047</v>
      </c>
      <c r="I78" s="1486"/>
      <c r="J78" s="1517" t="s">
        <v>1651</v>
      </c>
      <c r="K78" s="1506" t="s">
        <v>1652</v>
      </c>
      <c r="L78" s="1484">
        <f t="shared" si="0"/>
        <v>3062358</v>
      </c>
      <c r="M78" s="1485">
        <f>дод.3!E136</f>
        <v>3062358</v>
      </c>
      <c r="N78" s="1485"/>
      <c r="O78" s="1485"/>
    </row>
    <row r="79" spans="1:15" ht="69.75" hidden="1" customHeight="1" x14ac:dyDescent="0.25">
      <c r="A79" s="1466"/>
      <c r="B79" s="1470"/>
      <c r="C79" s="1470"/>
      <c r="D79" s="1480" t="s">
        <v>1048</v>
      </c>
      <c r="E79" s="1492">
        <v>7670</v>
      </c>
      <c r="F79" s="1481"/>
      <c r="G79" s="1481" t="s">
        <v>1038</v>
      </c>
      <c r="H79" s="1493" t="s">
        <v>1049</v>
      </c>
      <c r="I79" s="1486"/>
      <c r="J79" s="1490" t="s">
        <v>1596</v>
      </c>
      <c r="K79" s="1488" t="s">
        <v>1597</v>
      </c>
      <c r="L79" s="1484">
        <f t="shared" si="0"/>
        <v>0</v>
      </c>
      <c r="M79" s="1485"/>
      <c r="N79" s="1485">
        <f>дод.3!N137</f>
        <v>0</v>
      </c>
      <c r="O79" s="1491">
        <f>N79</f>
        <v>0</v>
      </c>
    </row>
    <row r="80" spans="1:15" ht="69" customHeight="1" x14ac:dyDescent="0.25">
      <c r="A80" s="1466"/>
      <c r="B80" s="1470" t="s">
        <v>1653</v>
      </c>
      <c r="C80" s="1470"/>
      <c r="D80" s="1480" t="s">
        <v>1501</v>
      </c>
      <c r="E80" s="1492">
        <v>8821</v>
      </c>
      <c r="F80" s="1481">
        <v>250913</v>
      </c>
      <c r="G80" s="1481" t="s">
        <v>1118</v>
      </c>
      <c r="H80" s="1493" t="s">
        <v>1654</v>
      </c>
      <c r="I80" s="1486" t="s">
        <v>1655</v>
      </c>
      <c r="J80" s="1515" t="s">
        <v>1649</v>
      </c>
      <c r="K80" s="1516" t="s">
        <v>1650</v>
      </c>
      <c r="L80" s="1484">
        <f t="shared" si="0"/>
        <v>3500000</v>
      </c>
      <c r="M80" s="1485">
        <f>дод.4!F16</f>
        <v>1733491</v>
      </c>
      <c r="N80" s="1485">
        <f>дод.4!G16</f>
        <v>1766509</v>
      </c>
      <c r="O80" s="1491"/>
    </row>
    <row r="81" spans="1:17" ht="41.4" hidden="1" x14ac:dyDescent="0.25">
      <c r="A81" s="1466"/>
      <c r="B81" s="1470"/>
      <c r="C81" s="1470"/>
      <c r="D81" s="1480" t="s">
        <v>1052</v>
      </c>
      <c r="E81" s="1492">
        <v>8420</v>
      </c>
      <c r="F81" s="1481"/>
      <c r="G81" s="1481" t="s">
        <v>1053</v>
      </c>
      <c r="H81" s="1493" t="s">
        <v>1054</v>
      </c>
      <c r="I81" s="1486"/>
      <c r="J81" s="1518" t="s">
        <v>1656</v>
      </c>
      <c r="K81" s="1516" t="s">
        <v>1657</v>
      </c>
      <c r="L81" s="1484">
        <f t="shared" si="0"/>
        <v>0</v>
      </c>
      <c r="M81" s="1485">
        <f>дод.3!E141</f>
        <v>0</v>
      </c>
      <c r="N81" s="1485"/>
      <c r="O81" s="1491"/>
    </row>
    <row r="82" spans="1:17" ht="27.6" hidden="1" x14ac:dyDescent="0.25">
      <c r="A82" s="1466"/>
      <c r="B82" s="1470"/>
      <c r="C82" s="1470"/>
      <c r="D82" s="1480" t="s">
        <v>1055</v>
      </c>
      <c r="E82" s="1492">
        <v>9770</v>
      </c>
      <c r="F82" s="1481"/>
      <c r="G82" s="1481" t="s">
        <v>275</v>
      </c>
      <c r="H82" s="1493" t="s">
        <v>236</v>
      </c>
      <c r="I82" s="1486"/>
      <c r="J82" s="1486" t="s">
        <v>1658</v>
      </c>
      <c r="K82" s="1492" t="s">
        <v>1659</v>
      </c>
      <c r="L82" s="1484">
        <f t="shared" si="0"/>
        <v>0</v>
      </c>
      <c r="M82" s="1485">
        <f>дод.3!E142</f>
        <v>0</v>
      </c>
      <c r="N82" s="1485"/>
      <c r="O82" s="1491"/>
    </row>
    <row r="83" spans="1:17" ht="27.6" x14ac:dyDescent="0.25">
      <c r="A83" s="1466"/>
      <c r="B83" s="1470">
        <v>1500000</v>
      </c>
      <c r="C83" s="1470"/>
      <c r="D83" s="1475" t="s">
        <v>1056</v>
      </c>
      <c r="E83" s="1476"/>
      <c r="F83" s="1475"/>
      <c r="G83" s="1475"/>
      <c r="H83" s="1477" t="s">
        <v>1057</v>
      </c>
      <c r="I83" s="1477" t="s">
        <v>1660</v>
      </c>
      <c r="J83" s="1519"/>
      <c r="K83" s="1519"/>
      <c r="L83" s="1520">
        <f>M83+N83</f>
        <v>210584034</v>
      </c>
      <c r="M83" s="1520">
        <f>M84</f>
        <v>210584034</v>
      </c>
      <c r="N83" s="1520">
        <f>N84</f>
        <v>0</v>
      </c>
      <c r="O83" s="1520">
        <f>O84</f>
        <v>0</v>
      </c>
    </row>
    <row r="84" spans="1:17" ht="33.6" customHeight="1" x14ac:dyDescent="0.25">
      <c r="A84" s="1466"/>
      <c r="B84" s="1470">
        <v>1500000</v>
      </c>
      <c r="C84" s="1470"/>
      <c r="D84" s="1480" t="s">
        <v>1058</v>
      </c>
      <c r="E84" s="1481"/>
      <c r="F84" s="1480"/>
      <c r="G84" s="1480"/>
      <c r="H84" s="1482" t="s">
        <v>1057</v>
      </c>
      <c r="I84" s="1482" t="s">
        <v>1660</v>
      </c>
      <c r="J84" s="1515"/>
      <c r="K84" s="1515"/>
      <c r="L84" s="1521">
        <f>M84+N84</f>
        <v>210584034</v>
      </c>
      <c r="M84" s="1521">
        <f>M85+M88+M91+M94+M95+M99+M103</f>
        <v>210584034</v>
      </c>
      <c r="N84" s="1521">
        <f>N85+N88+N91+N94+N95+N99+N103</f>
        <v>0</v>
      </c>
      <c r="O84" s="1521">
        <f>O85+O88+O91+O94+O95+O99+O103</f>
        <v>0</v>
      </c>
    </row>
    <row r="85" spans="1:17" ht="13.8" x14ac:dyDescent="0.25">
      <c r="A85" s="1466"/>
      <c r="B85" s="1470"/>
      <c r="C85" s="1470"/>
      <c r="D85" s="1945" t="s">
        <v>1064</v>
      </c>
      <c r="E85" s="1949" t="s">
        <v>1661</v>
      </c>
      <c r="F85" s="1480"/>
      <c r="G85" s="1949" t="s">
        <v>1065</v>
      </c>
      <c r="H85" s="1951" t="s">
        <v>1066</v>
      </c>
      <c r="I85" s="1482"/>
      <c r="J85" s="1515"/>
      <c r="K85" s="1515"/>
      <c r="L85" s="1521">
        <f>L86+L87</f>
        <v>84054036</v>
      </c>
      <c r="M85" s="1522">
        <f>M86+M87</f>
        <v>84054036</v>
      </c>
      <c r="N85" s="1522">
        <f>N86+N87</f>
        <v>0</v>
      </c>
      <c r="O85" s="1522">
        <f>O86+O87</f>
        <v>0</v>
      </c>
    </row>
    <row r="86" spans="1:17" ht="62.25" customHeight="1" x14ac:dyDescent="0.25">
      <c r="A86" s="1466"/>
      <c r="B86" s="1470"/>
      <c r="C86" s="1470"/>
      <c r="D86" s="1946"/>
      <c r="E86" s="1950"/>
      <c r="F86" s="1481" t="s">
        <v>1662</v>
      </c>
      <c r="G86" s="1950"/>
      <c r="H86" s="1952"/>
      <c r="I86" s="1486" t="s">
        <v>1663</v>
      </c>
      <c r="J86" s="1499" t="s">
        <v>1664</v>
      </c>
      <c r="K86" s="1492" t="s">
        <v>1665</v>
      </c>
      <c r="L86" s="1521">
        <f t="shared" ref="L86:L138" si="1">M86+N86</f>
        <v>84054036</v>
      </c>
      <c r="M86" s="1523">
        <f>дод.3!E151</f>
        <v>84054036</v>
      </c>
      <c r="N86" s="1521"/>
      <c r="O86" s="1522"/>
    </row>
    <row r="87" spans="1:17" ht="41.4" hidden="1" x14ac:dyDescent="0.25">
      <c r="A87" s="1466"/>
      <c r="B87" s="1470"/>
      <c r="C87" s="1470"/>
      <c r="D87" s="1953"/>
      <c r="E87" s="1955"/>
      <c r="F87" s="1481"/>
      <c r="G87" s="1955"/>
      <c r="H87" s="1956"/>
      <c r="I87" s="1486"/>
      <c r="J87" s="1490" t="s">
        <v>1596</v>
      </c>
      <c r="K87" s="1488" t="s">
        <v>1597</v>
      </c>
      <c r="L87" s="1521">
        <f t="shared" si="1"/>
        <v>0</v>
      </c>
      <c r="M87" s="1523"/>
      <c r="N87" s="1522">
        <f>дод.3!N151</f>
        <v>0</v>
      </c>
      <c r="O87" s="1522">
        <f>N87</f>
        <v>0</v>
      </c>
    </row>
    <row r="88" spans="1:17" ht="13.95" customHeight="1" x14ac:dyDescent="0.25">
      <c r="A88" s="1466"/>
      <c r="B88" s="1470"/>
      <c r="C88" s="1470"/>
      <c r="D88" s="1945" t="s">
        <v>1072</v>
      </c>
      <c r="E88" s="1947">
        <v>2030</v>
      </c>
      <c r="F88" s="1481"/>
      <c r="G88" s="1949" t="s">
        <v>1073</v>
      </c>
      <c r="H88" s="1957" t="s">
        <v>1074</v>
      </c>
      <c r="I88" s="1486"/>
      <c r="J88" s="1499"/>
      <c r="K88" s="1492"/>
      <c r="L88" s="1521">
        <f>M88+N88</f>
        <v>7499561</v>
      </c>
      <c r="M88" s="1485">
        <f>M89+M90</f>
        <v>7499561</v>
      </c>
      <c r="N88" s="1485">
        <f>N89+N90</f>
        <v>0</v>
      </c>
      <c r="O88" s="1485">
        <f>O89+O90</f>
        <v>0</v>
      </c>
      <c r="Q88" s="1524"/>
    </row>
    <row r="89" spans="1:17" ht="54.6" customHeight="1" x14ac:dyDescent="0.25">
      <c r="A89" s="1466"/>
      <c r="B89" s="1470"/>
      <c r="C89" s="1470"/>
      <c r="D89" s="1946"/>
      <c r="E89" s="1948"/>
      <c r="F89" s="1481" t="s">
        <v>1666</v>
      </c>
      <c r="G89" s="1950"/>
      <c r="H89" s="1958"/>
      <c r="I89" s="1525" t="s">
        <v>1667</v>
      </c>
      <c r="J89" s="1499" t="s">
        <v>1664</v>
      </c>
      <c r="K89" s="1492" t="s">
        <v>1665</v>
      </c>
      <c r="L89" s="1521">
        <f t="shared" si="1"/>
        <v>7499561</v>
      </c>
      <c r="M89" s="1523">
        <f>дод.3!E159</f>
        <v>7499561</v>
      </c>
      <c r="N89" s="1522"/>
      <c r="O89" s="1522"/>
      <c r="Q89" s="1526"/>
    </row>
    <row r="90" spans="1:17" ht="41.4" hidden="1" x14ac:dyDescent="0.25">
      <c r="A90" s="1466"/>
      <c r="B90" s="1470"/>
      <c r="C90" s="1470"/>
      <c r="D90" s="1953"/>
      <c r="E90" s="1954"/>
      <c r="F90" s="1481"/>
      <c r="G90" s="1955"/>
      <c r="H90" s="1959"/>
      <c r="I90" s="1525"/>
      <c r="J90" s="1490" t="s">
        <v>1596</v>
      </c>
      <c r="K90" s="1488" t="s">
        <v>1597</v>
      </c>
      <c r="L90" s="1521">
        <f t="shared" si="1"/>
        <v>0</v>
      </c>
      <c r="M90" s="1523"/>
      <c r="N90" s="1522">
        <f>дод.3!N159</f>
        <v>0</v>
      </c>
      <c r="O90" s="1522">
        <f>N90</f>
        <v>0</v>
      </c>
      <c r="Q90" s="1526"/>
    </row>
    <row r="91" spans="1:17" ht="13.95" customHeight="1" x14ac:dyDescent="0.25">
      <c r="A91" s="1466"/>
      <c r="B91" s="1470"/>
      <c r="C91" s="1470"/>
      <c r="D91" s="1945" t="s">
        <v>1075</v>
      </c>
      <c r="E91" s="1949" t="s">
        <v>1668</v>
      </c>
      <c r="F91" s="1961" t="s">
        <v>1669</v>
      </c>
      <c r="G91" s="1949" t="s">
        <v>1076</v>
      </c>
      <c r="H91" s="1951" t="s">
        <v>1077</v>
      </c>
      <c r="I91" s="1967" t="s">
        <v>1670</v>
      </c>
      <c r="J91" s="1499"/>
      <c r="K91" s="1499"/>
      <c r="L91" s="1521">
        <f t="shared" si="1"/>
        <v>6022770</v>
      </c>
      <c r="M91" s="1522">
        <f>SUM(M92:M93)</f>
        <v>6022770</v>
      </c>
      <c r="N91" s="1522">
        <f>SUM(N92:N93)</f>
        <v>0</v>
      </c>
      <c r="O91" s="1522">
        <f>SUM(O92:O93)</f>
        <v>0</v>
      </c>
      <c r="Q91" s="1526"/>
    </row>
    <row r="92" spans="1:17" ht="57.75" customHeight="1" x14ac:dyDescent="0.25">
      <c r="A92" s="1466"/>
      <c r="B92" s="1470"/>
      <c r="C92" s="1470"/>
      <c r="D92" s="1946"/>
      <c r="E92" s="1950"/>
      <c r="F92" s="1961"/>
      <c r="G92" s="1950"/>
      <c r="H92" s="1952"/>
      <c r="I92" s="1967"/>
      <c r="J92" s="1499" t="s">
        <v>1664</v>
      </c>
      <c r="K92" s="1492" t="s">
        <v>1665</v>
      </c>
      <c r="L92" s="1521">
        <f t="shared" si="1"/>
        <v>6022770</v>
      </c>
      <c r="M92" s="1523">
        <f>дод.3!E163</f>
        <v>6022770</v>
      </c>
      <c r="N92" s="1522"/>
      <c r="O92" s="1522"/>
    </row>
    <row r="93" spans="1:17" ht="57.75" hidden="1" customHeight="1" x14ac:dyDescent="0.25">
      <c r="A93" s="1466"/>
      <c r="B93" s="1470"/>
      <c r="C93" s="1470"/>
      <c r="D93" s="1953"/>
      <c r="E93" s="1955"/>
      <c r="F93" s="1481"/>
      <c r="G93" s="1955"/>
      <c r="H93" s="1956"/>
      <c r="I93" s="1486"/>
      <c r="J93" s="1490" t="s">
        <v>1596</v>
      </c>
      <c r="K93" s="1488" t="s">
        <v>1597</v>
      </c>
      <c r="L93" s="1521">
        <f t="shared" si="1"/>
        <v>0</v>
      </c>
      <c r="M93" s="1523"/>
      <c r="N93" s="1522">
        <f>дод.3!N163</f>
        <v>0</v>
      </c>
      <c r="O93" s="1522">
        <f>N93</f>
        <v>0</v>
      </c>
    </row>
    <row r="94" spans="1:17" ht="41.4" hidden="1" x14ac:dyDescent="0.25">
      <c r="A94" s="1466"/>
      <c r="B94" s="1470"/>
      <c r="C94" s="1470"/>
      <c r="D94" s="1480" t="s">
        <v>1078</v>
      </c>
      <c r="E94" s="1481" t="s">
        <v>1671</v>
      </c>
      <c r="F94" s="1481"/>
      <c r="G94" s="1481" t="s">
        <v>1079</v>
      </c>
      <c r="H94" s="1486" t="s">
        <v>1080</v>
      </c>
      <c r="I94" s="1486"/>
      <c r="J94" s="1490" t="s">
        <v>1596</v>
      </c>
      <c r="K94" s="1488" t="s">
        <v>1597</v>
      </c>
      <c r="L94" s="1521">
        <f>M94+N94</f>
        <v>0</v>
      </c>
      <c r="M94" s="1523"/>
      <c r="N94" s="1522">
        <f>дод.3!N166</f>
        <v>0</v>
      </c>
      <c r="O94" s="1522">
        <f>N94</f>
        <v>0</v>
      </c>
    </row>
    <row r="95" spans="1:17" ht="13.95" customHeight="1" x14ac:dyDescent="0.25">
      <c r="A95" s="1466"/>
      <c r="B95" s="1470"/>
      <c r="C95" s="1470"/>
      <c r="D95" s="1945" t="s">
        <v>1081</v>
      </c>
      <c r="E95" s="1949" t="s">
        <v>1672</v>
      </c>
      <c r="F95" s="1481"/>
      <c r="G95" s="1949" t="s">
        <v>1082</v>
      </c>
      <c r="H95" s="1951" t="s">
        <v>1083</v>
      </c>
      <c r="I95" s="1486"/>
      <c r="J95" s="1499"/>
      <c r="K95" s="1492"/>
      <c r="L95" s="1521">
        <f>SUM(L96:L97)</f>
        <v>19038834</v>
      </c>
      <c r="M95" s="1522">
        <f>SUM(M96:M97)</f>
        <v>19038834</v>
      </c>
      <c r="N95" s="1522">
        <f>SUM(N96:N97)</f>
        <v>0</v>
      </c>
      <c r="O95" s="1522">
        <f>SUM(O96:O97)</f>
        <v>0</v>
      </c>
    </row>
    <row r="96" spans="1:17" ht="41.4" x14ac:dyDescent="0.25">
      <c r="A96" s="1466"/>
      <c r="B96" s="1470"/>
      <c r="C96" s="1470"/>
      <c r="D96" s="1946"/>
      <c r="E96" s="1950"/>
      <c r="F96" s="1481"/>
      <c r="G96" s="1950"/>
      <c r="H96" s="1952"/>
      <c r="I96" s="1486"/>
      <c r="J96" s="1499" t="s">
        <v>1664</v>
      </c>
      <c r="K96" s="1492" t="s">
        <v>1665</v>
      </c>
      <c r="L96" s="1521">
        <f t="shared" si="1"/>
        <v>19038834</v>
      </c>
      <c r="M96" s="1523">
        <f>дод.3!E169</f>
        <v>19038834</v>
      </c>
      <c r="N96" s="1522"/>
      <c r="O96" s="1522"/>
    </row>
    <row r="97" spans="1:17" ht="41.4" hidden="1" x14ac:dyDescent="0.25">
      <c r="A97" s="1466"/>
      <c r="B97" s="1470"/>
      <c r="C97" s="1470"/>
      <c r="D97" s="1953"/>
      <c r="E97" s="1955"/>
      <c r="F97" s="1481"/>
      <c r="G97" s="1955"/>
      <c r="H97" s="1956"/>
      <c r="I97" s="1486"/>
      <c r="J97" s="1490" t="s">
        <v>1596</v>
      </c>
      <c r="K97" s="1488" t="s">
        <v>1597</v>
      </c>
      <c r="L97" s="1521">
        <f t="shared" si="1"/>
        <v>0</v>
      </c>
      <c r="M97" s="1522"/>
      <c r="N97" s="1522">
        <f>дод.3!N169</f>
        <v>0</v>
      </c>
      <c r="O97" s="1522">
        <f>N97</f>
        <v>0</v>
      </c>
    </row>
    <row r="98" spans="1:17" ht="27.6" hidden="1" x14ac:dyDescent="0.25">
      <c r="A98" s="1466"/>
      <c r="B98" s="1470"/>
      <c r="C98" s="1470"/>
      <c r="D98" s="1480" t="s">
        <v>1095</v>
      </c>
      <c r="E98" s="1481" t="s">
        <v>1673</v>
      </c>
      <c r="F98" s="1481"/>
      <c r="G98" s="1481" t="s">
        <v>1087</v>
      </c>
      <c r="H98" s="1486" t="s">
        <v>1096</v>
      </c>
      <c r="I98" s="1486"/>
      <c r="J98" s="1499"/>
      <c r="K98" s="1492"/>
      <c r="L98" s="1521"/>
      <c r="M98" s="1522"/>
      <c r="N98" s="1522"/>
      <c r="O98" s="1522"/>
    </row>
    <row r="99" spans="1:17" ht="13.8" x14ac:dyDescent="0.25">
      <c r="A99" s="1466"/>
      <c r="B99" s="1470"/>
      <c r="C99" s="1470"/>
      <c r="D99" s="1960" t="s">
        <v>1097</v>
      </c>
      <c r="E99" s="1961" t="s">
        <v>1674</v>
      </c>
      <c r="F99" s="1481"/>
      <c r="G99" s="1961" t="s">
        <v>1087</v>
      </c>
      <c r="H99" s="1967" t="s">
        <v>1098</v>
      </c>
      <c r="I99" s="1486"/>
      <c r="J99" s="1499"/>
      <c r="K99" s="1492"/>
      <c r="L99" s="1521">
        <f>M99</f>
        <v>93968833</v>
      </c>
      <c r="M99" s="1522">
        <f>M100+M101+M102</f>
        <v>93968833</v>
      </c>
      <c r="N99" s="1522"/>
      <c r="O99" s="1522"/>
    </row>
    <row r="100" spans="1:17" ht="58.5" hidden="1" customHeight="1" x14ac:dyDescent="0.25">
      <c r="A100" s="1466"/>
      <c r="B100" s="1470"/>
      <c r="C100" s="1470"/>
      <c r="D100" s="1960"/>
      <c r="E100" s="1961"/>
      <c r="F100" s="1481"/>
      <c r="G100" s="1961"/>
      <c r="H100" s="1967"/>
      <c r="I100" s="1486"/>
      <c r="J100" s="1499" t="s">
        <v>1675</v>
      </c>
      <c r="K100" s="1492" t="s">
        <v>1676</v>
      </c>
      <c r="L100" s="1521">
        <f t="shared" si="1"/>
        <v>0</v>
      </c>
      <c r="M100" s="1522"/>
      <c r="N100" s="1522"/>
      <c r="O100" s="1522"/>
    </row>
    <row r="101" spans="1:17" ht="48" customHeight="1" x14ac:dyDescent="0.25">
      <c r="A101" s="1466"/>
      <c r="B101" s="1470"/>
      <c r="C101" s="1470"/>
      <c r="D101" s="1960"/>
      <c r="E101" s="1961"/>
      <c r="F101" s="1481"/>
      <c r="G101" s="1961"/>
      <c r="H101" s="1967"/>
      <c r="I101" s="1486"/>
      <c r="J101" s="1483" t="s">
        <v>1677</v>
      </c>
      <c r="K101" s="1492" t="s">
        <v>1678</v>
      </c>
      <c r="L101" s="1521">
        <f t="shared" si="1"/>
        <v>14575594</v>
      </c>
      <c r="M101" s="1522">
        <v>14575594</v>
      </c>
      <c r="N101" s="1522"/>
      <c r="O101" s="1522"/>
    </row>
    <row r="102" spans="1:17" ht="64.5" customHeight="1" x14ac:dyDescent="0.25">
      <c r="A102" s="1466"/>
      <c r="B102" s="1470"/>
      <c r="C102" s="1470"/>
      <c r="D102" s="1960"/>
      <c r="E102" s="1961"/>
      <c r="F102" s="1481"/>
      <c r="G102" s="1961"/>
      <c r="H102" s="1967"/>
      <c r="I102" s="1486"/>
      <c r="J102" s="1499" t="s">
        <v>1679</v>
      </c>
      <c r="K102" s="1492" t="s">
        <v>1680</v>
      </c>
      <c r="L102" s="1521">
        <f t="shared" si="1"/>
        <v>79393239</v>
      </c>
      <c r="M102" s="1522">
        <f>70291340+500204+8601695</f>
        <v>79393239</v>
      </c>
      <c r="N102" s="1522"/>
      <c r="O102" s="1522"/>
    </row>
    <row r="103" spans="1:17" ht="41.4" hidden="1" x14ac:dyDescent="0.25">
      <c r="A103" s="1466"/>
      <c r="B103" s="1470"/>
      <c r="C103" s="1470"/>
      <c r="D103" s="1480" t="s">
        <v>1111</v>
      </c>
      <c r="E103" s="1481" t="s">
        <v>470</v>
      </c>
      <c r="F103" s="1481"/>
      <c r="G103" s="1481" t="s">
        <v>1109</v>
      </c>
      <c r="H103" s="1486" t="s">
        <v>236</v>
      </c>
      <c r="I103" s="1486"/>
      <c r="J103" s="1490" t="s">
        <v>1596</v>
      </c>
      <c r="K103" s="1488" t="s">
        <v>1597</v>
      </c>
      <c r="L103" s="1521">
        <f t="shared" si="1"/>
        <v>0</v>
      </c>
      <c r="M103" s="1522">
        <f>дод.3!E195</f>
        <v>0</v>
      </c>
      <c r="N103" s="1522">
        <f>дод.3!N196</f>
        <v>0</v>
      </c>
      <c r="O103" s="1522">
        <f>N103</f>
        <v>0</v>
      </c>
    </row>
    <row r="104" spans="1:17" ht="19.2" customHeight="1" x14ac:dyDescent="0.25">
      <c r="A104" s="1466"/>
      <c r="B104" s="1470" t="s">
        <v>1681</v>
      </c>
      <c r="C104" s="1470"/>
      <c r="D104" s="1475" t="s">
        <v>1112</v>
      </c>
      <c r="E104" s="1476"/>
      <c r="F104" s="1476"/>
      <c r="G104" s="1476"/>
      <c r="H104" s="1477" t="s">
        <v>1115</v>
      </c>
      <c r="I104" s="1477" t="s">
        <v>1682</v>
      </c>
      <c r="J104" s="1527"/>
      <c r="K104" s="1527"/>
      <c r="L104" s="1528">
        <f t="shared" si="1"/>
        <v>176784305</v>
      </c>
      <c r="M104" s="1528">
        <f>M105</f>
        <v>176784305</v>
      </c>
      <c r="N104" s="1528">
        <f>N105</f>
        <v>0</v>
      </c>
      <c r="O104" s="1528">
        <f>O105</f>
        <v>0</v>
      </c>
      <c r="Q104" s="1507"/>
    </row>
    <row r="105" spans="1:17" ht="19.2" customHeight="1" x14ac:dyDescent="0.25">
      <c r="A105" s="1466"/>
      <c r="B105" s="1470" t="s">
        <v>1681</v>
      </c>
      <c r="C105" s="1470"/>
      <c r="D105" s="1480" t="s">
        <v>1114</v>
      </c>
      <c r="E105" s="1481"/>
      <c r="F105" s="1481"/>
      <c r="G105" s="1481"/>
      <c r="H105" s="1482" t="s">
        <v>1115</v>
      </c>
      <c r="I105" s="1482" t="s">
        <v>1682</v>
      </c>
      <c r="J105" s="1517"/>
      <c r="K105" s="1517"/>
      <c r="L105" s="1529">
        <f>M105+N105</f>
        <v>176784305</v>
      </c>
      <c r="M105" s="1529">
        <f>SUM(M107:M134)-M112-M123-M129-M116</f>
        <v>176784305</v>
      </c>
      <c r="N105" s="1529">
        <f>SUM(N106:N134)-N112-N123-N129-N116</f>
        <v>0</v>
      </c>
      <c r="O105" s="1529">
        <f>SUM(O106:O134)-O112-O123-O129-O116</f>
        <v>0</v>
      </c>
    </row>
    <row r="106" spans="1:17" ht="41.4" hidden="1" x14ac:dyDescent="0.25">
      <c r="A106" s="1466"/>
      <c r="B106" s="1470"/>
      <c r="C106" s="1470"/>
      <c r="D106" s="1480" t="s">
        <v>1116</v>
      </c>
      <c r="E106" s="1481" t="s">
        <v>273</v>
      </c>
      <c r="F106" s="1481"/>
      <c r="G106" s="1481" t="s">
        <v>885</v>
      </c>
      <c r="H106" s="1486" t="s">
        <v>886</v>
      </c>
      <c r="I106" s="1486"/>
      <c r="J106" s="1490" t="s">
        <v>1596</v>
      </c>
      <c r="K106" s="1488" t="s">
        <v>1597</v>
      </c>
      <c r="L106" s="1521">
        <f>M106+N106</f>
        <v>0</v>
      </c>
      <c r="M106" s="1523"/>
      <c r="N106" s="1522">
        <f>дод.3!N199</f>
        <v>0</v>
      </c>
      <c r="O106" s="1522">
        <f>N106</f>
        <v>0</v>
      </c>
    </row>
    <row r="107" spans="1:17" ht="44.4" customHeight="1" x14ac:dyDescent="0.25">
      <c r="A107" s="1466"/>
      <c r="B107" s="1470"/>
      <c r="C107" s="1470"/>
      <c r="D107" s="1480" t="s">
        <v>1140</v>
      </c>
      <c r="E107" s="1481" t="s">
        <v>287</v>
      </c>
      <c r="F107" s="1481"/>
      <c r="G107" s="1481" t="s">
        <v>1141</v>
      </c>
      <c r="H107" s="1525" t="s">
        <v>286</v>
      </c>
      <c r="I107" s="1482"/>
      <c r="J107" s="1517" t="s">
        <v>1683</v>
      </c>
      <c r="K107" s="1506" t="s">
        <v>1684</v>
      </c>
      <c r="L107" s="1530">
        <f t="shared" si="1"/>
        <v>171800</v>
      </c>
      <c r="M107" s="1504">
        <f>дод.3!E218</f>
        <v>171800</v>
      </c>
      <c r="N107" s="1529"/>
      <c r="O107" s="1496"/>
    </row>
    <row r="108" spans="1:17" ht="49.95" customHeight="1" x14ac:dyDescent="0.25">
      <c r="A108" s="1466"/>
      <c r="B108" s="1470"/>
      <c r="C108" s="1470"/>
      <c r="D108" s="1480" t="s">
        <v>1142</v>
      </c>
      <c r="E108" s="1492">
        <v>3032</v>
      </c>
      <c r="F108" s="1481"/>
      <c r="G108" s="1481" t="s">
        <v>980</v>
      </c>
      <c r="H108" s="1493" t="s">
        <v>288</v>
      </c>
      <c r="I108" s="1525"/>
      <c r="J108" s="1517" t="s">
        <v>1683</v>
      </c>
      <c r="K108" s="1506" t="s">
        <v>1684</v>
      </c>
      <c r="L108" s="1530">
        <f t="shared" si="1"/>
        <v>1035144</v>
      </c>
      <c r="M108" s="1496">
        <f>дод.3!E219</f>
        <v>1035144</v>
      </c>
      <c r="N108" s="1496"/>
      <c r="O108" s="1496"/>
    </row>
    <row r="109" spans="1:17" ht="54.6" hidden="1" customHeight="1" x14ac:dyDescent="0.25">
      <c r="A109" s="1466"/>
      <c r="B109" s="1470"/>
      <c r="C109" s="1470"/>
      <c r="D109" s="1480" t="s">
        <v>1144</v>
      </c>
      <c r="E109" s="1492">
        <v>3035</v>
      </c>
      <c r="F109" s="1481"/>
      <c r="G109" s="1481" t="s">
        <v>980</v>
      </c>
      <c r="H109" s="1493" t="s">
        <v>290</v>
      </c>
      <c r="I109" s="1525"/>
      <c r="J109" s="1517" t="s">
        <v>1683</v>
      </c>
      <c r="K109" s="1506" t="s">
        <v>1684</v>
      </c>
      <c r="L109" s="1530">
        <f t="shared" si="1"/>
        <v>0</v>
      </c>
      <c r="M109" s="1496">
        <f>дод.3!E220</f>
        <v>0</v>
      </c>
      <c r="N109" s="1496"/>
      <c r="O109" s="1496"/>
    </row>
    <row r="110" spans="1:17" ht="43.2" hidden="1" customHeight="1" x14ac:dyDescent="0.25">
      <c r="A110" s="1466"/>
      <c r="B110" s="1470"/>
      <c r="C110" s="1470"/>
      <c r="D110" s="1480" t="s">
        <v>1145</v>
      </c>
      <c r="E110" s="1492">
        <v>3036</v>
      </c>
      <c r="F110" s="1481"/>
      <c r="G110" s="1481" t="s">
        <v>980</v>
      </c>
      <c r="H110" s="1493" t="s">
        <v>292</v>
      </c>
      <c r="I110" s="1525"/>
      <c r="J110" s="1531" t="s">
        <v>1685</v>
      </c>
      <c r="K110" s="1506" t="s">
        <v>1686</v>
      </c>
      <c r="L110" s="1530">
        <f t="shared" si="1"/>
        <v>0</v>
      </c>
      <c r="M110" s="1496"/>
      <c r="N110" s="1496"/>
      <c r="O110" s="1496"/>
    </row>
    <row r="111" spans="1:17" ht="41.4" x14ac:dyDescent="0.25">
      <c r="A111" s="1466"/>
      <c r="B111" s="1470"/>
      <c r="C111" s="1470"/>
      <c r="D111" s="1480" t="s">
        <v>1165</v>
      </c>
      <c r="E111" s="1492">
        <v>3050</v>
      </c>
      <c r="F111" s="1481" t="s">
        <v>1687</v>
      </c>
      <c r="G111" s="1481" t="s">
        <v>980</v>
      </c>
      <c r="H111" s="1493" t="s">
        <v>294</v>
      </c>
      <c r="I111" s="1525" t="s">
        <v>1688</v>
      </c>
      <c r="J111" s="1517" t="s">
        <v>1683</v>
      </c>
      <c r="K111" s="1506" t="s">
        <v>1689</v>
      </c>
      <c r="L111" s="1530">
        <f t="shared" si="1"/>
        <v>436196</v>
      </c>
      <c r="M111" s="1496">
        <f>дод.3!E239-дод.3!E240</f>
        <v>436196</v>
      </c>
      <c r="N111" s="1496"/>
      <c r="O111" s="1496"/>
    </row>
    <row r="112" spans="1:17" ht="15" customHeight="1" x14ac:dyDescent="0.25">
      <c r="A112" s="1466"/>
      <c r="B112" s="1470"/>
      <c r="C112" s="1470"/>
      <c r="D112" s="1945" t="s">
        <v>1186</v>
      </c>
      <c r="E112" s="1947">
        <v>3104</v>
      </c>
      <c r="F112" s="1481"/>
      <c r="G112" s="1949" t="s">
        <v>1690</v>
      </c>
      <c r="H112" s="1957" t="s">
        <v>300</v>
      </c>
      <c r="I112" s="1525"/>
      <c r="J112" s="1517"/>
      <c r="K112" s="1506"/>
      <c r="L112" s="1530">
        <f>L113+L115+L114</f>
        <v>2484736</v>
      </c>
      <c r="M112" s="1496">
        <f>M113+M115+M114</f>
        <v>2484736</v>
      </c>
      <c r="N112" s="1496">
        <f>N113+N115+N114</f>
        <v>0</v>
      </c>
      <c r="O112" s="1496">
        <f>O113+O115+O114</f>
        <v>0</v>
      </c>
    </row>
    <row r="113" spans="1:15" ht="46.95" customHeight="1" x14ac:dyDescent="0.25">
      <c r="A113" s="1466"/>
      <c r="B113" s="1470"/>
      <c r="C113" s="1470"/>
      <c r="D113" s="1946"/>
      <c r="E113" s="1948"/>
      <c r="F113" s="1481"/>
      <c r="G113" s="1950"/>
      <c r="H113" s="1958"/>
      <c r="I113" s="1525"/>
      <c r="J113" s="1517" t="s">
        <v>1683</v>
      </c>
      <c r="K113" s="1506" t="s">
        <v>1684</v>
      </c>
      <c r="L113" s="1530">
        <f t="shared" si="1"/>
        <v>2152389</v>
      </c>
      <c r="M113" s="1496">
        <f>1876764+56800+216825+2000</f>
        <v>2152389</v>
      </c>
      <c r="N113" s="1496"/>
      <c r="O113" s="1496"/>
    </row>
    <row r="114" spans="1:15" ht="41.4" hidden="1" x14ac:dyDescent="0.25">
      <c r="A114" s="1466"/>
      <c r="B114" s="1470"/>
      <c r="C114" s="1470"/>
      <c r="D114" s="1946"/>
      <c r="E114" s="1948"/>
      <c r="F114" s="1481"/>
      <c r="G114" s="1950"/>
      <c r="H114" s="1958"/>
      <c r="I114" s="1525"/>
      <c r="J114" s="1490" t="s">
        <v>1596</v>
      </c>
      <c r="K114" s="1488" t="s">
        <v>1597</v>
      </c>
      <c r="L114" s="1530">
        <f t="shared" si="1"/>
        <v>0</v>
      </c>
      <c r="M114" s="1496"/>
      <c r="N114" s="1496">
        <f>дод.3!N259</f>
        <v>0</v>
      </c>
      <c r="O114" s="1496">
        <f>N114</f>
        <v>0</v>
      </c>
    </row>
    <row r="115" spans="1:15" ht="42.75" customHeight="1" x14ac:dyDescent="0.25">
      <c r="A115" s="1466"/>
      <c r="B115" s="1470"/>
      <c r="C115" s="1470"/>
      <c r="D115" s="1953"/>
      <c r="E115" s="1954"/>
      <c r="F115" s="1481"/>
      <c r="G115" s="1955"/>
      <c r="H115" s="1959"/>
      <c r="I115" s="1525"/>
      <c r="J115" s="1531" t="s">
        <v>1691</v>
      </c>
      <c r="K115" s="1506" t="s">
        <v>1692</v>
      </c>
      <c r="L115" s="1530">
        <f t="shared" si="1"/>
        <v>332347</v>
      </c>
      <c r="M115" s="1496">
        <f>13230+3675+15442+300000</f>
        <v>332347</v>
      </c>
      <c r="N115" s="1496"/>
      <c r="O115" s="1496"/>
    </row>
    <row r="116" spans="1:15" ht="27" customHeight="1" x14ac:dyDescent="0.25">
      <c r="A116" s="1466"/>
      <c r="B116" s="1470"/>
      <c r="C116" s="1470"/>
      <c r="D116" s="1945" t="s">
        <v>1188</v>
      </c>
      <c r="E116" s="1947">
        <v>3105</v>
      </c>
      <c r="F116" s="1481" t="s">
        <v>1615</v>
      </c>
      <c r="G116" s="1949" t="s">
        <v>1189</v>
      </c>
      <c r="H116" s="1957" t="s">
        <v>302</v>
      </c>
      <c r="I116" s="1486" t="s">
        <v>1616</v>
      </c>
      <c r="J116" s="1517"/>
      <c r="K116" s="1506"/>
      <c r="L116" s="1530">
        <f>L117+L119+L118</f>
        <v>181237</v>
      </c>
      <c r="M116" s="1496">
        <f>M117+M119+M118</f>
        <v>181237</v>
      </c>
      <c r="N116" s="1496">
        <f>N117+N119</f>
        <v>0</v>
      </c>
      <c r="O116" s="1496">
        <f>O117+O119</f>
        <v>0</v>
      </c>
    </row>
    <row r="117" spans="1:15" ht="48" customHeight="1" x14ac:dyDescent="0.25">
      <c r="A117" s="1466"/>
      <c r="B117" s="1470"/>
      <c r="C117" s="1470"/>
      <c r="D117" s="1946"/>
      <c r="E117" s="1948"/>
      <c r="F117" s="1481"/>
      <c r="G117" s="1950"/>
      <c r="H117" s="1958"/>
      <c r="I117" s="1486"/>
      <c r="J117" s="1517" t="s">
        <v>1693</v>
      </c>
      <c r="K117" s="1506" t="s">
        <v>1694</v>
      </c>
      <c r="L117" s="1530">
        <f>M117+N117</f>
        <v>31237</v>
      </c>
      <c r="M117" s="1496">
        <f>9800+21437</f>
        <v>31237</v>
      </c>
      <c r="N117" s="1496"/>
      <c r="O117" s="1496"/>
    </row>
    <row r="118" spans="1:15" ht="48" customHeight="1" x14ac:dyDescent="0.25">
      <c r="A118" s="1466"/>
      <c r="B118" s="1470"/>
      <c r="C118" s="1470"/>
      <c r="D118" s="1946"/>
      <c r="E118" s="1948"/>
      <c r="F118" s="1481"/>
      <c r="G118" s="1950"/>
      <c r="H118" s="1958"/>
      <c r="I118" s="1486"/>
      <c r="J118" s="1517" t="s">
        <v>1683</v>
      </c>
      <c r="K118" s="1506" t="s">
        <v>1684</v>
      </c>
      <c r="L118" s="1530">
        <f>M118+N118</f>
        <v>150000</v>
      </c>
      <c r="M118" s="1496">
        <v>150000</v>
      </c>
      <c r="N118" s="1496"/>
      <c r="O118" s="1496"/>
    </row>
    <row r="119" spans="1:15" ht="41.4" hidden="1" customHeight="1" x14ac:dyDescent="0.25">
      <c r="A119" s="1466"/>
      <c r="B119" s="1470"/>
      <c r="C119" s="1470"/>
      <c r="D119" s="1953"/>
      <c r="E119" s="1954"/>
      <c r="F119" s="1481"/>
      <c r="G119" s="1955"/>
      <c r="H119" s="1959"/>
      <c r="I119" s="1486"/>
      <c r="J119" s="1490" t="s">
        <v>1596</v>
      </c>
      <c r="K119" s="1488" t="s">
        <v>1597</v>
      </c>
      <c r="L119" s="1530">
        <f>M119+N119</f>
        <v>0</v>
      </c>
      <c r="M119" s="1496"/>
      <c r="N119" s="1496">
        <f>дод.3!N260</f>
        <v>0</v>
      </c>
      <c r="O119" s="1496">
        <f>N119</f>
        <v>0</v>
      </c>
    </row>
    <row r="120" spans="1:15" ht="52.2" customHeight="1" x14ac:dyDescent="0.25">
      <c r="A120" s="1466"/>
      <c r="B120" s="1470"/>
      <c r="C120" s="1470"/>
      <c r="D120" s="1480" t="s">
        <v>1190</v>
      </c>
      <c r="E120" s="1492">
        <v>3121</v>
      </c>
      <c r="F120" s="1481"/>
      <c r="G120" s="1481" t="s">
        <v>977</v>
      </c>
      <c r="H120" s="1493" t="s">
        <v>1191</v>
      </c>
      <c r="I120" s="1525"/>
      <c r="J120" s="1517" t="s">
        <v>1693</v>
      </c>
      <c r="K120" s="1506" t="s">
        <v>1694</v>
      </c>
      <c r="L120" s="1530">
        <f t="shared" si="1"/>
        <v>24202</v>
      </c>
      <c r="M120" s="1496">
        <v>24202</v>
      </c>
      <c r="N120" s="1496"/>
      <c r="O120" s="1496"/>
    </row>
    <row r="121" spans="1:15" ht="59.4" customHeight="1" x14ac:dyDescent="0.25">
      <c r="A121" s="1466"/>
      <c r="B121" s="1470"/>
      <c r="C121" s="1470"/>
      <c r="D121" s="1480" t="s">
        <v>1192</v>
      </c>
      <c r="E121" s="1492">
        <v>3140</v>
      </c>
      <c r="F121" s="1481" t="s">
        <v>1615</v>
      </c>
      <c r="G121" s="1481" t="s">
        <v>977</v>
      </c>
      <c r="H121" s="1493" t="s">
        <v>312</v>
      </c>
      <c r="I121" s="1486" t="s">
        <v>1616</v>
      </c>
      <c r="J121" s="1517" t="s">
        <v>1693</v>
      </c>
      <c r="K121" s="1506" t="s">
        <v>1694</v>
      </c>
      <c r="L121" s="1530">
        <f t="shared" si="1"/>
        <v>33476305</v>
      </c>
      <c r="M121" s="1496">
        <f>дод.3!E263</f>
        <v>33476305</v>
      </c>
      <c r="N121" s="1496"/>
      <c r="O121" s="1496"/>
    </row>
    <row r="122" spans="1:15" ht="84" customHeight="1" x14ac:dyDescent="0.25">
      <c r="A122" s="1466"/>
      <c r="B122" s="1470"/>
      <c r="C122" s="1470"/>
      <c r="D122" s="1480" t="s">
        <v>1193</v>
      </c>
      <c r="E122" s="1492">
        <v>3160</v>
      </c>
      <c r="F122" s="1481"/>
      <c r="G122" s="1481" t="s">
        <v>1189</v>
      </c>
      <c r="H122" s="1493" t="s">
        <v>314</v>
      </c>
      <c r="I122" s="1486"/>
      <c r="J122" s="1517" t="s">
        <v>1683</v>
      </c>
      <c r="K122" s="1506" t="s">
        <v>1684</v>
      </c>
      <c r="L122" s="1530">
        <f t="shared" si="1"/>
        <v>4698905</v>
      </c>
      <c r="M122" s="1496">
        <f>дод.3!E264</f>
        <v>4698905</v>
      </c>
      <c r="N122" s="1496"/>
      <c r="O122" s="1496"/>
    </row>
    <row r="123" spans="1:15" ht="13.8" x14ac:dyDescent="0.25">
      <c r="A123" s="1466"/>
      <c r="B123" s="1470"/>
      <c r="C123" s="1470"/>
      <c r="D123" s="1945" t="s">
        <v>1197</v>
      </c>
      <c r="E123" s="1949" t="s">
        <v>323</v>
      </c>
      <c r="F123" s="1481"/>
      <c r="G123" s="1949" t="s">
        <v>1118</v>
      </c>
      <c r="H123" s="1951" t="s">
        <v>1198</v>
      </c>
      <c r="I123" s="1486"/>
      <c r="J123" s="1517"/>
      <c r="K123" s="1506"/>
      <c r="L123" s="1530">
        <f>L124+L125</f>
        <v>6714787</v>
      </c>
      <c r="M123" s="1496">
        <f>M124+M125</f>
        <v>6714787</v>
      </c>
      <c r="N123" s="1496"/>
      <c r="O123" s="1496"/>
    </row>
    <row r="124" spans="1:15" ht="51.6" customHeight="1" x14ac:dyDescent="0.25">
      <c r="A124" s="1466"/>
      <c r="B124" s="1470"/>
      <c r="C124" s="1470"/>
      <c r="D124" s="1946"/>
      <c r="E124" s="1950"/>
      <c r="F124" s="1961" t="s">
        <v>1695</v>
      </c>
      <c r="G124" s="1950"/>
      <c r="H124" s="1952"/>
      <c r="I124" s="1967" t="s">
        <v>1696</v>
      </c>
      <c r="J124" s="1517" t="s">
        <v>1683</v>
      </c>
      <c r="K124" s="1506" t="s">
        <v>1684</v>
      </c>
      <c r="L124" s="1530">
        <f t="shared" si="1"/>
        <v>2654563</v>
      </c>
      <c r="M124" s="1496">
        <v>2654563</v>
      </c>
      <c r="N124" s="1496"/>
      <c r="O124" s="1496"/>
    </row>
    <row r="125" spans="1:15" ht="58.95" customHeight="1" x14ac:dyDescent="0.25">
      <c r="A125" s="1466"/>
      <c r="B125" s="1470"/>
      <c r="C125" s="1470"/>
      <c r="D125" s="1953"/>
      <c r="E125" s="1955"/>
      <c r="F125" s="1961"/>
      <c r="G125" s="1955"/>
      <c r="H125" s="1956"/>
      <c r="I125" s="1967"/>
      <c r="J125" s="1487" t="s">
        <v>1590</v>
      </c>
      <c r="K125" s="1488" t="s">
        <v>1591</v>
      </c>
      <c r="L125" s="1530">
        <f t="shared" si="1"/>
        <v>4060224</v>
      </c>
      <c r="M125" s="1496">
        <f>1956626+2103598</f>
        <v>4060224</v>
      </c>
      <c r="N125" s="1496"/>
      <c r="O125" s="1496"/>
    </row>
    <row r="126" spans="1:15" ht="41.4" x14ac:dyDescent="0.25">
      <c r="A126" s="1466"/>
      <c r="B126" s="1470"/>
      <c r="C126" s="1470"/>
      <c r="D126" s="1480" t="s">
        <v>1200</v>
      </c>
      <c r="E126" s="1492">
        <v>3192</v>
      </c>
      <c r="F126" s="1481" t="s">
        <v>1697</v>
      </c>
      <c r="G126" s="1481" t="s">
        <v>1141</v>
      </c>
      <c r="H126" s="1493" t="s">
        <v>1201</v>
      </c>
      <c r="I126" s="1525" t="s">
        <v>1698</v>
      </c>
      <c r="J126" s="1517" t="s">
        <v>1683</v>
      </c>
      <c r="K126" s="1506" t="s">
        <v>1684</v>
      </c>
      <c r="L126" s="1530">
        <f t="shared" si="1"/>
        <v>1153274</v>
      </c>
      <c r="M126" s="1496">
        <f>дод.3!E272</f>
        <v>1153274</v>
      </c>
      <c r="N126" s="1496"/>
      <c r="O126" s="1496"/>
    </row>
    <row r="127" spans="1:15" ht="44.7" hidden="1" customHeight="1" x14ac:dyDescent="0.25">
      <c r="A127" s="1466"/>
      <c r="B127" s="1470"/>
      <c r="C127" s="1470"/>
      <c r="D127" s="1480" t="s">
        <v>1202</v>
      </c>
      <c r="E127" s="1492">
        <v>3210</v>
      </c>
      <c r="F127" s="1481"/>
      <c r="G127" s="1481" t="s">
        <v>1203</v>
      </c>
      <c r="H127" s="1493" t="s">
        <v>328</v>
      </c>
      <c r="I127" s="1525"/>
      <c r="J127" s="1499" t="s">
        <v>1699</v>
      </c>
      <c r="K127" s="1506" t="s">
        <v>1700</v>
      </c>
      <c r="L127" s="1530">
        <f t="shared" si="1"/>
        <v>0</v>
      </c>
      <c r="M127" s="1496">
        <f>дод.3!E273</f>
        <v>0</v>
      </c>
      <c r="N127" s="1496"/>
      <c r="O127" s="1496"/>
    </row>
    <row r="128" spans="1:15" ht="69" hidden="1" x14ac:dyDescent="0.25">
      <c r="A128" s="1466"/>
      <c r="B128" s="1470"/>
      <c r="C128" s="1470"/>
      <c r="D128" s="1480" t="s">
        <v>1214</v>
      </c>
      <c r="E128" s="1492">
        <v>3230</v>
      </c>
      <c r="F128" s="1481"/>
      <c r="G128" s="1481" t="s">
        <v>980</v>
      </c>
      <c r="H128" s="1493" t="s">
        <v>981</v>
      </c>
      <c r="I128" s="1525"/>
      <c r="J128" s="1532" t="s">
        <v>1701</v>
      </c>
      <c r="K128" s="1506" t="s">
        <v>1702</v>
      </c>
      <c r="L128" s="1530">
        <f>M128+N128</f>
        <v>0</v>
      </c>
      <c r="M128" s="1496">
        <f>дод.3!E283</f>
        <v>0</v>
      </c>
      <c r="N128" s="1496">
        <f>дод.3!N283</f>
        <v>0</v>
      </c>
      <c r="O128" s="1496">
        <f>N128</f>
        <v>0</v>
      </c>
    </row>
    <row r="129" spans="1:17" ht="18" customHeight="1" x14ac:dyDescent="0.25">
      <c r="A129" s="1466"/>
      <c r="B129" s="1470"/>
      <c r="C129" s="1470"/>
      <c r="D129" s="1945" t="s">
        <v>1216</v>
      </c>
      <c r="E129" s="1949" t="s">
        <v>345</v>
      </c>
      <c r="F129" s="1481"/>
      <c r="G129" s="1949" t="s">
        <v>984</v>
      </c>
      <c r="H129" s="1951" t="s">
        <v>344</v>
      </c>
      <c r="I129" s="1525"/>
      <c r="J129" s="1499"/>
      <c r="K129" s="1506"/>
      <c r="L129" s="1530">
        <f>L130+L131+L132</f>
        <v>126407719</v>
      </c>
      <c r="M129" s="1496">
        <f>M130+M131+M132</f>
        <v>126407719</v>
      </c>
      <c r="N129" s="1496"/>
      <c r="O129" s="1496"/>
    </row>
    <row r="130" spans="1:17" ht="44.4" customHeight="1" x14ac:dyDescent="0.25">
      <c r="A130" s="1466"/>
      <c r="B130" s="1470"/>
      <c r="C130" s="1470"/>
      <c r="D130" s="1946"/>
      <c r="E130" s="1950"/>
      <c r="F130" s="1961" t="s">
        <v>1703</v>
      </c>
      <c r="G130" s="1950"/>
      <c r="H130" s="1952"/>
      <c r="I130" s="1967" t="s">
        <v>357</v>
      </c>
      <c r="J130" s="1517" t="s">
        <v>1683</v>
      </c>
      <c r="K130" s="1506" t="s">
        <v>1684</v>
      </c>
      <c r="L130" s="1530">
        <f t="shared" si="1"/>
        <v>3925599</v>
      </c>
      <c r="M130" s="1496">
        <f>32500+52525+1208281+2479293+153000</f>
        <v>3925599</v>
      </c>
      <c r="N130" s="1496"/>
      <c r="O130" s="1496"/>
    </row>
    <row r="131" spans="1:17" ht="51" customHeight="1" x14ac:dyDescent="0.25">
      <c r="A131" s="1466"/>
      <c r="B131" s="1470"/>
      <c r="C131" s="1470"/>
      <c r="D131" s="1946"/>
      <c r="E131" s="1950"/>
      <c r="F131" s="1961"/>
      <c r="G131" s="1950"/>
      <c r="H131" s="1952"/>
      <c r="I131" s="1967"/>
      <c r="J131" s="1487" t="s">
        <v>1590</v>
      </c>
      <c r="K131" s="1488" t="s">
        <v>1591</v>
      </c>
      <c r="L131" s="1530">
        <f t="shared" si="1"/>
        <v>111304000</v>
      </c>
      <c r="M131" s="1496">
        <f>8938000+148812360+13259640-59706000</f>
        <v>111304000</v>
      </c>
      <c r="N131" s="1496"/>
      <c r="O131" s="1496"/>
    </row>
    <row r="132" spans="1:17" ht="55.5" customHeight="1" x14ac:dyDescent="0.25">
      <c r="A132" s="1466"/>
      <c r="B132" s="1470"/>
      <c r="C132" s="1470"/>
      <c r="D132" s="1946"/>
      <c r="E132" s="1950"/>
      <c r="F132" s="1961"/>
      <c r="G132" s="1950"/>
      <c r="H132" s="1952"/>
      <c r="I132" s="1967"/>
      <c r="J132" s="1483" t="s">
        <v>1693</v>
      </c>
      <c r="K132" s="1495" t="s">
        <v>1694</v>
      </c>
      <c r="L132" s="1530">
        <f>M132</f>
        <v>11178120</v>
      </c>
      <c r="M132" s="1496">
        <f>17840000+100000+1038120-7800000</f>
        <v>11178120</v>
      </c>
      <c r="N132" s="1496"/>
      <c r="O132" s="1496"/>
    </row>
    <row r="133" spans="1:17" ht="111.75" hidden="1" customHeight="1" x14ac:dyDescent="0.25">
      <c r="A133" s="1466"/>
      <c r="B133" s="1470"/>
      <c r="C133" s="1470"/>
      <c r="D133" s="1953"/>
      <c r="E133" s="1955"/>
      <c r="F133" s="1961"/>
      <c r="G133" s="1955"/>
      <c r="H133" s="1956"/>
      <c r="I133" s="1967"/>
      <c r="J133" s="1489" t="s">
        <v>1704</v>
      </c>
      <c r="K133" s="1506" t="s">
        <v>1705</v>
      </c>
      <c r="L133" s="1530">
        <f t="shared" si="1"/>
        <v>0</v>
      </c>
      <c r="M133" s="1496"/>
      <c r="N133" s="1496"/>
      <c r="O133" s="1496"/>
    </row>
    <row r="134" spans="1:17" ht="69" hidden="1" x14ac:dyDescent="0.25">
      <c r="A134" s="1466"/>
      <c r="B134" s="1470"/>
      <c r="C134" s="1470"/>
      <c r="D134" s="1480" t="s">
        <v>1225</v>
      </c>
      <c r="E134" s="1481" t="s">
        <v>432</v>
      </c>
      <c r="F134" s="1481"/>
      <c r="G134" s="1481" t="s">
        <v>1038</v>
      </c>
      <c r="H134" s="1486" t="s">
        <v>1226</v>
      </c>
      <c r="I134" s="1486"/>
      <c r="J134" s="1532" t="s">
        <v>1701</v>
      </c>
      <c r="K134" s="1506" t="s">
        <v>1702</v>
      </c>
      <c r="L134" s="1530">
        <f>M134+N134</f>
        <v>0</v>
      </c>
      <c r="M134" s="1496">
        <f>дод.3!E295</f>
        <v>0</v>
      </c>
      <c r="N134" s="1496">
        <f>дод.3!N295</f>
        <v>0</v>
      </c>
      <c r="O134" s="1496">
        <f>дод.3!T295</f>
        <v>0</v>
      </c>
    </row>
    <row r="135" spans="1:17" ht="19.2" customHeight="1" x14ac:dyDescent="0.25">
      <c r="A135" s="1466"/>
      <c r="B135" s="1470" t="s">
        <v>1681</v>
      </c>
      <c r="C135" s="1470"/>
      <c r="D135" s="1475" t="s">
        <v>1228</v>
      </c>
      <c r="E135" s="1476"/>
      <c r="F135" s="1476"/>
      <c r="G135" s="1476"/>
      <c r="H135" s="1477" t="s">
        <v>1229</v>
      </c>
      <c r="I135" s="1477" t="s">
        <v>1682</v>
      </c>
      <c r="J135" s="1527"/>
      <c r="K135" s="1527"/>
      <c r="L135" s="1528">
        <f t="shared" si="1"/>
        <v>296000</v>
      </c>
      <c r="M135" s="1528">
        <f>M136</f>
        <v>296000</v>
      </c>
      <c r="N135" s="1528">
        <f>N136</f>
        <v>0</v>
      </c>
      <c r="O135" s="1528">
        <f>O136</f>
        <v>0</v>
      </c>
      <c r="Q135" s="1507"/>
    </row>
    <row r="136" spans="1:17" ht="19.2" customHeight="1" x14ac:dyDescent="0.25">
      <c r="A136" s="1466"/>
      <c r="B136" s="1470" t="s">
        <v>1681</v>
      </c>
      <c r="C136" s="1470"/>
      <c r="D136" s="1480" t="s">
        <v>1230</v>
      </c>
      <c r="E136" s="1481"/>
      <c r="F136" s="1481"/>
      <c r="G136" s="1481"/>
      <c r="H136" s="1482" t="s">
        <v>1229</v>
      </c>
      <c r="I136" s="1482" t="s">
        <v>1682</v>
      </c>
      <c r="J136" s="1517"/>
      <c r="K136" s="1517"/>
      <c r="L136" s="1529">
        <f>L138+L137</f>
        <v>296000</v>
      </c>
      <c r="M136" s="1529">
        <f>M138</f>
        <v>296000</v>
      </c>
      <c r="N136" s="1529">
        <f>N137</f>
        <v>0</v>
      </c>
      <c r="O136" s="1529">
        <f>O137</f>
        <v>0</v>
      </c>
    </row>
    <row r="137" spans="1:17" ht="41.4" hidden="1" x14ac:dyDescent="0.25">
      <c r="A137" s="1466"/>
      <c r="B137" s="1470"/>
      <c r="C137" s="1470"/>
      <c r="D137" s="1480" t="s">
        <v>1231</v>
      </c>
      <c r="E137" s="1481" t="s">
        <v>273</v>
      </c>
      <c r="F137" s="1481"/>
      <c r="G137" s="1481" t="s">
        <v>885</v>
      </c>
      <c r="H137" s="1486" t="s">
        <v>886</v>
      </c>
      <c r="I137" s="1486"/>
      <c r="J137" s="1490" t="s">
        <v>1596</v>
      </c>
      <c r="K137" s="1488" t="s">
        <v>1597</v>
      </c>
      <c r="L137" s="1521">
        <f>M137+N137</f>
        <v>0</v>
      </c>
      <c r="M137" s="1523"/>
      <c r="N137" s="1522">
        <f>дод.3!N299</f>
        <v>0</v>
      </c>
      <c r="O137" s="1522">
        <f>N137</f>
        <v>0</v>
      </c>
    </row>
    <row r="138" spans="1:17" ht="44.4" customHeight="1" x14ac:dyDescent="0.25">
      <c r="A138" s="1466"/>
      <c r="B138" s="1470"/>
      <c r="C138" s="1470"/>
      <c r="D138" s="1480" t="s">
        <v>1232</v>
      </c>
      <c r="E138" s="1481" t="s">
        <v>305</v>
      </c>
      <c r="F138" s="1481"/>
      <c r="G138" s="1481" t="s">
        <v>977</v>
      </c>
      <c r="H138" s="1525" t="s">
        <v>304</v>
      </c>
      <c r="I138" s="1482"/>
      <c r="J138" s="1517" t="s">
        <v>1706</v>
      </c>
      <c r="K138" s="1495" t="s">
        <v>1707</v>
      </c>
      <c r="L138" s="1530">
        <f t="shared" si="1"/>
        <v>296000</v>
      </c>
      <c r="M138" s="1504">
        <f>дод.3!E300</f>
        <v>296000</v>
      </c>
      <c r="N138" s="1529"/>
      <c r="O138" s="1496"/>
    </row>
    <row r="139" spans="1:17" ht="27.6" x14ac:dyDescent="0.25">
      <c r="A139" s="1466"/>
      <c r="B139" s="1470"/>
      <c r="C139" s="1470"/>
      <c r="D139" s="1475" t="s">
        <v>1233</v>
      </c>
      <c r="E139" s="1476"/>
      <c r="F139" s="1476"/>
      <c r="G139" s="1476"/>
      <c r="H139" s="1533" t="s">
        <v>1234</v>
      </c>
      <c r="I139" s="1477" t="s">
        <v>1708</v>
      </c>
      <c r="J139" s="1527"/>
      <c r="K139" s="1527"/>
      <c r="L139" s="1528">
        <f>M139+N139</f>
        <v>107977416</v>
      </c>
      <c r="M139" s="1528">
        <f>M140</f>
        <v>107977416</v>
      </c>
      <c r="N139" s="1528">
        <f>N140</f>
        <v>0</v>
      </c>
      <c r="O139" s="1528">
        <f>O140</f>
        <v>0</v>
      </c>
    </row>
    <row r="140" spans="1:17" ht="27.6" x14ac:dyDescent="0.25">
      <c r="A140" s="1466"/>
      <c r="B140" s="1470"/>
      <c r="C140" s="1470"/>
      <c r="D140" s="1480" t="s">
        <v>1235</v>
      </c>
      <c r="E140" s="1481"/>
      <c r="F140" s="1481"/>
      <c r="G140" s="1481"/>
      <c r="H140" s="1534" t="s">
        <v>1234</v>
      </c>
      <c r="I140" s="1482" t="s">
        <v>1708</v>
      </c>
      <c r="J140" s="1517"/>
      <c r="K140" s="1517"/>
      <c r="L140" s="1529">
        <f>M140+N140</f>
        <v>107977416</v>
      </c>
      <c r="M140" s="1529">
        <f>SUM(M141:M176)-M143-M152-M159+M183-M169-M147</f>
        <v>107977416</v>
      </c>
      <c r="N140" s="1529">
        <f>SUM(N141:N176)-N143-N152-N159+N183-N169-N147</f>
        <v>0</v>
      </c>
      <c r="O140" s="1529">
        <f>SUM(O141:O176)-O143-O152-O159+O183-O169-O147</f>
        <v>0</v>
      </c>
    </row>
    <row r="141" spans="1:17" ht="41.4" hidden="1" x14ac:dyDescent="0.25">
      <c r="A141" s="1466"/>
      <c r="B141" s="1470"/>
      <c r="C141" s="1470"/>
      <c r="D141" s="1480" t="s">
        <v>1237</v>
      </c>
      <c r="E141" s="1481" t="s">
        <v>273</v>
      </c>
      <c r="F141" s="1481"/>
      <c r="G141" s="1481" t="s">
        <v>885</v>
      </c>
      <c r="H141" s="1486" t="s">
        <v>886</v>
      </c>
      <c r="I141" s="1486"/>
      <c r="J141" s="1490" t="s">
        <v>1596</v>
      </c>
      <c r="K141" s="1488" t="s">
        <v>1597</v>
      </c>
      <c r="L141" s="1521">
        <f>M141+N141</f>
        <v>0</v>
      </c>
      <c r="M141" s="1523"/>
      <c r="N141" s="1522">
        <f>дод.3!N303</f>
        <v>0</v>
      </c>
      <c r="O141" s="1522">
        <f>N141</f>
        <v>0</v>
      </c>
    </row>
    <row r="142" spans="1:17" ht="41.4" hidden="1" x14ac:dyDescent="0.25">
      <c r="A142" s="1466"/>
      <c r="B142" s="1470"/>
      <c r="C142" s="1470"/>
      <c r="D142" s="1960" t="s">
        <v>1240</v>
      </c>
      <c r="E142" s="1961" t="s">
        <v>386</v>
      </c>
      <c r="F142" s="1481"/>
      <c r="G142" s="1961" t="s">
        <v>1241</v>
      </c>
      <c r="H142" s="1963" t="s">
        <v>385</v>
      </c>
      <c r="I142" s="1482"/>
      <c r="J142" s="1517" t="s">
        <v>1709</v>
      </c>
      <c r="K142" s="1506" t="s">
        <v>1710</v>
      </c>
      <c r="L142" s="1529">
        <f t="shared" ref="L142:L153" si="2">M142+N142</f>
        <v>0</v>
      </c>
      <c r="M142" s="1529"/>
      <c r="N142" s="1504"/>
      <c r="O142" s="1504"/>
    </row>
    <row r="143" spans="1:17" ht="13.8" hidden="1" x14ac:dyDescent="0.25">
      <c r="A143" s="1466"/>
      <c r="B143" s="1470"/>
      <c r="C143" s="1470"/>
      <c r="D143" s="1960"/>
      <c r="E143" s="1961"/>
      <c r="F143" s="1481"/>
      <c r="G143" s="1961"/>
      <c r="H143" s="1963"/>
      <c r="I143" s="1482"/>
      <c r="J143" s="1517"/>
      <c r="K143" s="1506"/>
      <c r="L143" s="1529">
        <f>L144+L145</f>
        <v>0</v>
      </c>
      <c r="M143" s="1529">
        <f>M144+M145</f>
        <v>0</v>
      </c>
      <c r="N143" s="1529">
        <f>N144+N145</f>
        <v>0</v>
      </c>
      <c r="O143" s="1529">
        <f>O144+O145</f>
        <v>0</v>
      </c>
    </row>
    <row r="144" spans="1:17" ht="41.4" hidden="1" x14ac:dyDescent="0.25">
      <c r="A144" s="1466"/>
      <c r="B144" s="1470"/>
      <c r="C144" s="1470"/>
      <c r="D144" s="1960"/>
      <c r="E144" s="1961"/>
      <c r="F144" s="1481"/>
      <c r="G144" s="1961"/>
      <c r="H144" s="1963"/>
      <c r="I144" s="1482"/>
      <c r="J144" s="1517" t="s">
        <v>1711</v>
      </c>
      <c r="K144" s="1506" t="s">
        <v>1712</v>
      </c>
      <c r="L144" s="1529">
        <f t="shared" si="2"/>
        <v>0</v>
      </c>
      <c r="M144" s="1529"/>
      <c r="N144" s="1504"/>
      <c r="O144" s="1504">
        <f>N144</f>
        <v>0</v>
      </c>
    </row>
    <row r="145" spans="1:15" ht="56.25" hidden="1" customHeight="1" x14ac:dyDescent="0.25">
      <c r="A145" s="1466"/>
      <c r="B145" s="1470"/>
      <c r="C145" s="1470"/>
      <c r="D145" s="1960"/>
      <c r="E145" s="1961"/>
      <c r="F145" s="1481"/>
      <c r="G145" s="1961"/>
      <c r="H145" s="1963"/>
      <c r="I145" s="1482"/>
      <c r="J145" s="1517" t="s">
        <v>1713</v>
      </c>
      <c r="K145" s="1506" t="s">
        <v>1714</v>
      </c>
      <c r="L145" s="1529">
        <f t="shared" si="2"/>
        <v>0</v>
      </c>
      <c r="M145" s="1529"/>
      <c r="N145" s="1504"/>
      <c r="O145" s="1504">
        <f>N145</f>
        <v>0</v>
      </c>
    </row>
    <row r="146" spans="1:15" ht="43.2" hidden="1" customHeight="1" x14ac:dyDescent="0.25">
      <c r="A146" s="1466"/>
      <c r="B146" s="1470"/>
      <c r="C146" s="1470"/>
      <c r="D146" s="1480" t="s">
        <v>1242</v>
      </c>
      <c r="E146" s="1481" t="s">
        <v>388</v>
      </c>
      <c r="F146" s="1481"/>
      <c r="G146" s="1481" t="s">
        <v>1241</v>
      </c>
      <c r="H146" s="1493" t="s">
        <v>387</v>
      </c>
      <c r="I146" s="1482"/>
      <c r="J146" s="1490" t="s">
        <v>1596</v>
      </c>
      <c r="K146" s="1488" t="s">
        <v>1597</v>
      </c>
      <c r="L146" s="1529">
        <f t="shared" si="2"/>
        <v>0</v>
      </c>
      <c r="M146" s="1504"/>
      <c r="N146" s="1504">
        <f>дод.3!M307</f>
        <v>0</v>
      </c>
      <c r="O146" s="1504">
        <f>N146</f>
        <v>0</v>
      </c>
    </row>
    <row r="147" spans="1:15" ht="13.8" customHeight="1" x14ac:dyDescent="0.25">
      <c r="A147" s="1466"/>
      <c r="B147" s="1470"/>
      <c r="C147" s="1470"/>
      <c r="D147" s="1945" t="s">
        <v>1243</v>
      </c>
      <c r="E147" s="1949" t="s">
        <v>390</v>
      </c>
      <c r="F147" s="1481"/>
      <c r="G147" s="1949" t="s">
        <v>1241</v>
      </c>
      <c r="H147" s="1957" t="s">
        <v>389</v>
      </c>
      <c r="I147" s="1482"/>
      <c r="J147" s="1489"/>
      <c r="K147" s="1488"/>
      <c r="L147" s="1529">
        <f>SUM(L148:L149)</f>
        <v>37641554</v>
      </c>
      <c r="M147" s="1504">
        <f>M148+M149</f>
        <v>37641554</v>
      </c>
      <c r="N147" s="1504">
        <f>N148+N149</f>
        <v>0</v>
      </c>
      <c r="O147" s="1504">
        <f>O148+O149</f>
        <v>0</v>
      </c>
    </row>
    <row r="148" spans="1:15" ht="51.75" customHeight="1" x14ac:dyDescent="0.25">
      <c r="A148" s="1466"/>
      <c r="B148" s="1470"/>
      <c r="C148" s="1470"/>
      <c r="D148" s="1946"/>
      <c r="E148" s="1950"/>
      <c r="F148" s="1481"/>
      <c r="G148" s="1950"/>
      <c r="H148" s="1958"/>
      <c r="I148" s="1482"/>
      <c r="J148" s="1517" t="s">
        <v>1715</v>
      </c>
      <c r="K148" s="1517" t="s">
        <v>1716</v>
      </c>
      <c r="L148" s="1529">
        <f t="shared" si="2"/>
        <v>37641554</v>
      </c>
      <c r="M148" s="1504">
        <f>дод.3!E309</f>
        <v>37641554</v>
      </c>
      <c r="N148" s="1504"/>
      <c r="O148" s="1504"/>
    </row>
    <row r="149" spans="1:15" ht="51.75" hidden="1" customHeight="1" x14ac:dyDescent="0.25">
      <c r="A149" s="1466"/>
      <c r="B149" s="1470"/>
      <c r="C149" s="1470"/>
      <c r="D149" s="1953"/>
      <c r="E149" s="1955"/>
      <c r="F149" s="1481"/>
      <c r="G149" s="1955"/>
      <c r="H149" s="1959"/>
      <c r="I149" s="1482"/>
      <c r="J149" s="1490" t="s">
        <v>1596</v>
      </c>
      <c r="K149" s="1488" t="s">
        <v>1597</v>
      </c>
      <c r="L149" s="1529">
        <f t="shared" si="2"/>
        <v>0</v>
      </c>
      <c r="M149" s="1504"/>
      <c r="N149" s="1504"/>
      <c r="O149" s="1504">
        <f>N149</f>
        <v>0</v>
      </c>
    </row>
    <row r="150" spans="1:15" ht="68.400000000000006" hidden="1" customHeight="1" x14ac:dyDescent="0.25">
      <c r="A150" s="1466"/>
      <c r="B150" s="1470"/>
      <c r="C150" s="1470"/>
      <c r="D150" s="1945" t="s">
        <v>1244</v>
      </c>
      <c r="E150" s="1949" t="s">
        <v>392</v>
      </c>
      <c r="F150" s="1481"/>
      <c r="G150" s="1949" t="s">
        <v>1241</v>
      </c>
      <c r="H150" s="1957" t="s">
        <v>391</v>
      </c>
      <c r="I150" s="1482"/>
      <c r="J150" s="1517" t="s">
        <v>1713</v>
      </c>
      <c r="K150" s="1506" t="s">
        <v>1714</v>
      </c>
      <c r="L150" s="1529">
        <f t="shared" si="2"/>
        <v>0</v>
      </c>
      <c r="M150" s="1529"/>
      <c r="N150" s="1504"/>
      <c r="O150" s="1504">
        <f>N150</f>
        <v>0</v>
      </c>
    </row>
    <row r="151" spans="1:15" ht="41.4" hidden="1" x14ac:dyDescent="0.25">
      <c r="A151" s="1466"/>
      <c r="B151" s="1470"/>
      <c r="C151" s="1470"/>
      <c r="D151" s="1953"/>
      <c r="E151" s="1955"/>
      <c r="F151" s="1481"/>
      <c r="G151" s="1955"/>
      <c r="H151" s="1959"/>
      <c r="I151" s="1482"/>
      <c r="J151" s="1517" t="s">
        <v>1711</v>
      </c>
      <c r="K151" s="1506" t="s">
        <v>1712</v>
      </c>
      <c r="L151" s="1529">
        <f t="shared" si="2"/>
        <v>0</v>
      </c>
      <c r="M151" s="1529"/>
      <c r="N151" s="1504"/>
      <c r="O151" s="1504">
        <f>N151</f>
        <v>0</v>
      </c>
    </row>
    <row r="152" spans="1:15" ht="13.8" x14ac:dyDescent="0.25">
      <c r="A152" s="1466"/>
      <c r="B152" s="1470"/>
      <c r="C152" s="1470"/>
      <c r="D152" s="1945" t="s">
        <v>1248</v>
      </c>
      <c r="E152" s="1949" t="s">
        <v>394</v>
      </c>
      <c r="F152" s="1481"/>
      <c r="G152" s="1949" t="s">
        <v>1241</v>
      </c>
      <c r="H152" s="1951" t="s">
        <v>393</v>
      </c>
      <c r="I152" s="1482"/>
      <c r="J152" s="1531"/>
      <c r="K152" s="1506"/>
      <c r="L152" s="1529">
        <f>M152+N152</f>
        <v>54405536</v>
      </c>
      <c r="M152" s="1504">
        <f>SUM(M153:M155)</f>
        <v>54405536</v>
      </c>
      <c r="N152" s="1504">
        <f>SUM(N153:N155)</f>
        <v>0</v>
      </c>
      <c r="O152" s="1504">
        <f>SUM(O153:O155)</f>
        <v>0</v>
      </c>
    </row>
    <row r="153" spans="1:15" ht="41.4" hidden="1" x14ac:dyDescent="0.25">
      <c r="A153" s="1466"/>
      <c r="B153" s="1470"/>
      <c r="C153" s="1470"/>
      <c r="D153" s="1946"/>
      <c r="E153" s="1950"/>
      <c r="F153" s="1961">
        <v>100203</v>
      </c>
      <c r="G153" s="1950"/>
      <c r="H153" s="1952"/>
      <c r="I153" s="1964" t="s">
        <v>1717</v>
      </c>
      <c r="J153" s="1517" t="s">
        <v>1718</v>
      </c>
      <c r="K153" s="1506" t="s">
        <v>1719</v>
      </c>
      <c r="L153" s="1529">
        <f t="shared" si="2"/>
        <v>0</v>
      </c>
      <c r="M153" s="1504"/>
      <c r="N153" s="1504"/>
      <c r="O153" s="1504"/>
    </row>
    <row r="154" spans="1:15" ht="45" hidden="1" customHeight="1" x14ac:dyDescent="0.25">
      <c r="A154" s="1466"/>
      <c r="B154" s="1470"/>
      <c r="C154" s="1470"/>
      <c r="D154" s="1946"/>
      <c r="E154" s="1950"/>
      <c r="F154" s="1961"/>
      <c r="G154" s="1950"/>
      <c r="H154" s="1952"/>
      <c r="I154" s="1964"/>
      <c r="J154" s="1490" t="s">
        <v>1596</v>
      </c>
      <c r="K154" s="1488" t="s">
        <v>1597</v>
      </c>
      <c r="L154" s="1535">
        <f>M154+N154</f>
        <v>0</v>
      </c>
      <c r="M154" s="1536"/>
      <c r="N154" s="1504">
        <f>дод.3!N312</f>
        <v>0</v>
      </c>
      <c r="O154" s="1504">
        <f>N154</f>
        <v>0</v>
      </c>
    </row>
    <row r="155" spans="1:15" ht="43.2" customHeight="1" x14ac:dyDescent="0.25">
      <c r="A155" s="1466"/>
      <c r="B155" s="1470"/>
      <c r="C155" s="1470"/>
      <c r="D155" s="1953"/>
      <c r="E155" s="1955"/>
      <c r="F155" s="1961"/>
      <c r="G155" s="1955"/>
      <c r="H155" s="1956"/>
      <c r="I155" s="1964"/>
      <c r="J155" s="1517" t="s">
        <v>1715</v>
      </c>
      <c r="K155" s="1506" t="s">
        <v>1720</v>
      </c>
      <c r="L155" s="1529">
        <f t="shared" ref="L155:L181" si="3">M155+N155</f>
        <v>54405536</v>
      </c>
      <c r="M155" s="1536">
        <f>дод.3!E312</f>
        <v>54405536</v>
      </c>
      <c r="N155" s="1504"/>
      <c r="O155" s="1504"/>
    </row>
    <row r="156" spans="1:15" ht="31.8" customHeight="1" x14ac:dyDescent="0.25">
      <c r="A156" s="1466"/>
      <c r="B156" s="1470"/>
      <c r="C156" s="1470"/>
      <c r="D156" s="1480" t="s">
        <v>1249</v>
      </c>
      <c r="E156" s="1481" t="s">
        <v>396</v>
      </c>
      <c r="F156" s="1961"/>
      <c r="G156" s="1481" t="s">
        <v>1241</v>
      </c>
      <c r="H156" s="1537" t="s">
        <v>1721</v>
      </c>
      <c r="I156" s="1964"/>
      <c r="J156" s="1517" t="s">
        <v>1715</v>
      </c>
      <c r="K156" s="1506" t="s">
        <v>1716</v>
      </c>
      <c r="L156" s="1529">
        <f t="shared" si="3"/>
        <v>114543</v>
      </c>
      <c r="M156" s="1504">
        <f>дод.3!E313</f>
        <v>114543</v>
      </c>
      <c r="N156" s="1504"/>
      <c r="O156" s="1504"/>
    </row>
    <row r="157" spans="1:15" ht="82.8" hidden="1" x14ac:dyDescent="0.25">
      <c r="A157" s="1466"/>
      <c r="B157" s="1470"/>
      <c r="C157" s="1470"/>
      <c r="D157" s="1480" t="s">
        <v>1252</v>
      </c>
      <c r="E157" s="1481" t="s">
        <v>1722</v>
      </c>
      <c r="F157" s="1481"/>
      <c r="G157" s="1481" t="s">
        <v>1251</v>
      </c>
      <c r="H157" s="1537" t="s">
        <v>1253</v>
      </c>
      <c r="I157" s="1492"/>
      <c r="J157" s="1517" t="s">
        <v>1715</v>
      </c>
      <c r="K157" s="1506" t="s">
        <v>1720</v>
      </c>
      <c r="L157" s="1529">
        <f t="shared" si="3"/>
        <v>0</v>
      </c>
      <c r="M157" s="1504">
        <f>дод.3!E315</f>
        <v>0</v>
      </c>
      <c r="N157" s="1504"/>
      <c r="O157" s="1504"/>
    </row>
    <row r="158" spans="1:15" ht="117" customHeight="1" x14ac:dyDescent="0.25">
      <c r="A158" s="1466"/>
      <c r="B158" s="1470"/>
      <c r="C158" s="1470"/>
      <c r="D158" s="1480" t="s">
        <v>1254</v>
      </c>
      <c r="E158" s="1481" t="s">
        <v>1255</v>
      </c>
      <c r="F158" s="1481"/>
      <c r="G158" s="1481" t="s">
        <v>1026</v>
      </c>
      <c r="H158" s="1537" t="s">
        <v>1256</v>
      </c>
      <c r="I158" s="1492"/>
      <c r="J158" s="1517" t="s">
        <v>1723</v>
      </c>
      <c r="K158" s="1506" t="s">
        <v>1724</v>
      </c>
      <c r="L158" s="1529">
        <f t="shared" si="3"/>
        <v>753132</v>
      </c>
      <c r="M158" s="1504">
        <f>дод.3!E316</f>
        <v>753132</v>
      </c>
      <c r="N158" s="1504"/>
      <c r="O158" s="1504"/>
    </row>
    <row r="159" spans="1:15" ht="13.8" hidden="1" x14ac:dyDescent="0.25">
      <c r="A159" s="1466"/>
      <c r="B159" s="1470"/>
      <c r="C159" s="1470"/>
      <c r="D159" s="1945" t="s">
        <v>1250</v>
      </c>
      <c r="E159" s="1949" t="s">
        <v>407</v>
      </c>
      <c r="F159" s="1481"/>
      <c r="G159" s="1949" t="s">
        <v>1251</v>
      </c>
      <c r="H159" s="1949" t="s">
        <v>406</v>
      </c>
      <c r="I159" s="1492"/>
      <c r="J159" s="1517"/>
      <c r="K159" s="1506"/>
      <c r="L159" s="1529">
        <f>M159+N159</f>
        <v>0</v>
      </c>
      <c r="M159" s="1504">
        <f>SUM(M160:M161)</f>
        <v>0</v>
      </c>
      <c r="N159" s="1504">
        <f>SUM(N160:N161)</f>
        <v>0</v>
      </c>
      <c r="O159" s="1504">
        <f>SUM(O160:O161)</f>
        <v>0</v>
      </c>
    </row>
    <row r="160" spans="1:15" ht="46.95" hidden="1" customHeight="1" x14ac:dyDescent="0.25">
      <c r="A160" s="1466"/>
      <c r="B160" s="1470"/>
      <c r="C160" s="1470"/>
      <c r="D160" s="1946"/>
      <c r="E160" s="1950"/>
      <c r="F160" s="1481"/>
      <c r="G160" s="1950"/>
      <c r="H160" s="1950"/>
      <c r="I160" s="1499"/>
      <c r="J160" s="1517" t="s">
        <v>1725</v>
      </c>
      <c r="K160" s="1506" t="s">
        <v>1726</v>
      </c>
      <c r="L160" s="1529">
        <f>M160+N160</f>
        <v>0</v>
      </c>
      <c r="M160" s="1504"/>
      <c r="N160" s="1504"/>
      <c r="O160" s="1504"/>
    </row>
    <row r="161" spans="1:15" ht="44.4" hidden="1" customHeight="1" x14ac:dyDescent="0.25">
      <c r="A161" s="1466"/>
      <c r="B161" s="1470"/>
      <c r="C161" s="1470"/>
      <c r="D161" s="1953"/>
      <c r="E161" s="1955"/>
      <c r="F161" s="1481"/>
      <c r="G161" s="1955"/>
      <c r="H161" s="1955"/>
      <c r="I161" s="1499"/>
      <c r="J161" s="1517" t="s">
        <v>1715</v>
      </c>
      <c r="K161" s="1506" t="s">
        <v>1720</v>
      </c>
      <c r="L161" s="1529">
        <f>M161+N161</f>
        <v>0</v>
      </c>
      <c r="M161" s="1504"/>
      <c r="N161" s="1504"/>
      <c r="O161" s="1504"/>
    </row>
    <row r="162" spans="1:15" ht="82.8" hidden="1" x14ac:dyDescent="0.25">
      <c r="A162" s="1466"/>
      <c r="B162" s="1470"/>
      <c r="C162" s="1470"/>
      <c r="D162" s="1480" t="s">
        <v>1252</v>
      </c>
      <c r="E162" s="1492">
        <v>6071</v>
      </c>
      <c r="F162" s="1481"/>
      <c r="G162" s="1481" t="s">
        <v>1251</v>
      </c>
      <c r="H162" s="1538" t="s">
        <v>1253</v>
      </c>
      <c r="I162" s="1499"/>
      <c r="J162" s="1517" t="s">
        <v>1715</v>
      </c>
      <c r="K162" s="1506" t="s">
        <v>1716</v>
      </c>
      <c r="L162" s="1529">
        <f>M162+N162</f>
        <v>0</v>
      </c>
      <c r="M162" s="1504"/>
      <c r="N162" s="1504"/>
      <c r="O162" s="1504"/>
    </row>
    <row r="163" spans="1:15" ht="41.4" hidden="1" x14ac:dyDescent="0.25">
      <c r="A163" s="1466"/>
      <c r="B163" s="1470"/>
      <c r="C163" s="1470"/>
      <c r="D163" s="1480" t="s">
        <v>1259</v>
      </c>
      <c r="E163" s="1492">
        <v>7310</v>
      </c>
      <c r="F163" s="1481"/>
      <c r="G163" s="1481" t="s">
        <v>1023</v>
      </c>
      <c r="H163" s="1493" t="s">
        <v>1260</v>
      </c>
      <c r="I163" s="1499"/>
      <c r="J163" s="1490" t="s">
        <v>1596</v>
      </c>
      <c r="K163" s="1488" t="s">
        <v>1597</v>
      </c>
      <c r="L163" s="1529">
        <f t="shared" si="3"/>
        <v>0</v>
      </c>
      <c r="M163" s="1504"/>
      <c r="N163" s="1504">
        <f>дод.3!N318</f>
        <v>0</v>
      </c>
      <c r="O163" s="1504">
        <f>N163</f>
        <v>0</v>
      </c>
    </row>
    <row r="164" spans="1:15" ht="27.6" hidden="1" x14ac:dyDescent="0.25">
      <c r="A164" s="1466"/>
      <c r="B164" s="1470"/>
      <c r="C164" s="1470"/>
      <c r="D164" s="1480" t="s">
        <v>1266</v>
      </c>
      <c r="E164" s="1492">
        <v>7422</v>
      </c>
      <c r="F164" s="1481"/>
      <c r="G164" s="1481" t="s">
        <v>1264</v>
      </c>
      <c r="H164" s="1493" t="s">
        <v>1268</v>
      </c>
      <c r="I164" s="1499"/>
      <c r="J164" s="1517" t="s">
        <v>1727</v>
      </c>
      <c r="K164" s="1517" t="s">
        <v>1728</v>
      </c>
      <c r="L164" s="1529"/>
      <c r="M164" s="1504">
        <f>дод.3!E321</f>
        <v>0</v>
      </c>
      <c r="N164" s="1504"/>
      <c r="O164" s="1504"/>
    </row>
    <row r="165" spans="1:15" ht="41.4" hidden="1" x14ac:dyDescent="0.25">
      <c r="A165" s="1466"/>
      <c r="B165" s="1470"/>
      <c r="C165" s="1470"/>
      <c r="D165" s="1480" t="s">
        <v>1279</v>
      </c>
      <c r="E165" s="1492">
        <v>7640</v>
      </c>
      <c r="F165" s="1481"/>
      <c r="G165" s="1481" t="s">
        <v>1044</v>
      </c>
      <c r="H165" s="1493" t="s">
        <v>453</v>
      </c>
      <c r="I165" s="1525"/>
      <c r="J165" s="1517" t="s">
        <v>1713</v>
      </c>
      <c r="K165" s="1506" t="s">
        <v>1714</v>
      </c>
      <c r="L165" s="1529">
        <f t="shared" si="3"/>
        <v>0</v>
      </c>
      <c r="M165" s="1536">
        <f>дод.3!E329</f>
        <v>0</v>
      </c>
      <c r="N165" s="1504"/>
      <c r="O165" s="1504"/>
    </row>
    <row r="166" spans="1:15" ht="27.6" hidden="1" x14ac:dyDescent="0.25">
      <c r="A166" s="1466"/>
      <c r="B166" s="1470"/>
      <c r="C166" s="1470"/>
      <c r="D166" s="1960" t="s">
        <v>1280</v>
      </c>
      <c r="E166" s="1964">
        <v>7670</v>
      </c>
      <c r="F166" s="1481"/>
      <c r="G166" s="1961" t="s">
        <v>1038</v>
      </c>
      <c r="H166" s="1963" t="s">
        <v>1049</v>
      </c>
      <c r="I166" s="1525"/>
      <c r="J166" s="1517" t="s">
        <v>1729</v>
      </c>
      <c r="K166" s="1506" t="s">
        <v>1730</v>
      </c>
      <c r="L166" s="1529">
        <f t="shared" si="3"/>
        <v>0</v>
      </c>
      <c r="M166" s="1504"/>
      <c r="N166" s="1504"/>
      <c r="O166" s="1504">
        <f>N166</f>
        <v>0</v>
      </c>
    </row>
    <row r="167" spans="1:15" ht="13.8" hidden="1" x14ac:dyDescent="0.25">
      <c r="A167" s="1466"/>
      <c r="B167" s="1470"/>
      <c r="C167" s="1470"/>
      <c r="D167" s="1960"/>
      <c r="E167" s="1964"/>
      <c r="F167" s="1481"/>
      <c r="G167" s="1961"/>
      <c r="H167" s="1963"/>
      <c r="I167" s="1525"/>
      <c r="J167" s="1965" t="s">
        <v>1731</v>
      </c>
      <c r="K167" s="1966" t="s">
        <v>1732</v>
      </c>
      <c r="L167" s="1529">
        <f t="shared" si="3"/>
        <v>0</v>
      </c>
      <c r="M167" s="1504"/>
      <c r="N167" s="1504"/>
      <c r="O167" s="1504"/>
    </row>
    <row r="168" spans="1:15" ht="13.8" hidden="1" x14ac:dyDescent="0.25">
      <c r="A168" s="1466"/>
      <c r="B168" s="1470"/>
      <c r="C168" s="1470"/>
      <c r="D168" s="1960"/>
      <c r="E168" s="1964"/>
      <c r="F168" s="1481"/>
      <c r="G168" s="1961"/>
      <c r="H168" s="1963"/>
      <c r="I168" s="1525"/>
      <c r="J168" s="1965"/>
      <c r="K168" s="1966"/>
      <c r="L168" s="1529">
        <f t="shared" si="3"/>
        <v>0</v>
      </c>
      <c r="M168" s="1504"/>
      <c r="N168" s="1504"/>
      <c r="O168" s="1504">
        <f>N168</f>
        <v>0</v>
      </c>
    </row>
    <row r="169" spans="1:15" ht="13.8" hidden="1" x14ac:dyDescent="0.25">
      <c r="A169" s="1466"/>
      <c r="B169" s="1470"/>
      <c r="C169" s="1470"/>
      <c r="D169" s="1945" t="s">
        <v>1283</v>
      </c>
      <c r="E169" s="1947">
        <v>8110</v>
      </c>
      <c r="F169" s="1481"/>
      <c r="G169" s="1949" t="s">
        <v>1109</v>
      </c>
      <c r="H169" s="1957" t="s">
        <v>469</v>
      </c>
      <c r="I169" s="1525"/>
      <c r="J169" s="1531"/>
      <c r="K169" s="1506"/>
      <c r="L169" s="1529">
        <f>SUM(L170:L170)</f>
        <v>0</v>
      </c>
      <c r="M169" s="1504">
        <f>SUM(M170:M170)</f>
        <v>0</v>
      </c>
      <c r="N169" s="1504">
        <f>SUM(N170:N170)</f>
        <v>0</v>
      </c>
      <c r="O169" s="1504">
        <f>SUM(O170:O170)</f>
        <v>0</v>
      </c>
    </row>
    <row r="170" spans="1:15" ht="41.4" hidden="1" x14ac:dyDescent="0.25">
      <c r="A170" s="1466"/>
      <c r="B170" s="1470"/>
      <c r="C170" s="1470"/>
      <c r="D170" s="1946"/>
      <c r="E170" s="1948"/>
      <c r="F170" s="1481" t="s">
        <v>1733</v>
      </c>
      <c r="G170" s="1950"/>
      <c r="H170" s="1958"/>
      <c r="I170" s="1499" t="s">
        <v>1734</v>
      </c>
      <c r="J170" s="1490" t="s">
        <v>1735</v>
      </c>
      <c r="K170" s="1488" t="s">
        <v>1736</v>
      </c>
      <c r="L170" s="1529">
        <f t="shared" si="3"/>
        <v>0</v>
      </c>
      <c r="M170" s="1504"/>
      <c r="N170" s="1504">
        <f>дод.3!N333</f>
        <v>0</v>
      </c>
      <c r="O170" s="1504">
        <f>N170</f>
        <v>0</v>
      </c>
    </row>
    <row r="171" spans="1:15" ht="41.4" hidden="1" x14ac:dyDescent="0.25">
      <c r="A171" s="1466"/>
      <c r="B171" s="1470"/>
      <c r="C171" s="1470"/>
      <c r="D171" s="1480" t="s">
        <v>1737</v>
      </c>
      <c r="E171" s="1492">
        <v>8320</v>
      </c>
      <c r="F171" s="1481"/>
      <c r="G171" s="1481" t="s">
        <v>1292</v>
      </c>
      <c r="H171" s="1493" t="s">
        <v>547</v>
      </c>
      <c r="I171" s="1499"/>
      <c r="J171" s="1517" t="s">
        <v>1738</v>
      </c>
      <c r="K171" s="1517" t="s">
        <v>1739</v>
      </c>
      <c r="L171" s="1529">
        <f t="shared" si="3"/>
        <v>0</v>
      </c>
      <c r="M171" s="1504"/>
      <c r="N171" s="1504"/>
      <c r="O171" s="1504"/>
    </row>
    <row r="172" spans="1:15" ht="27.6" hidden="1" x14ac:dyDescent="0.25">
      <c r="A172" s="1466"/>
      <c r="B172" s="1470"/>
      <c r="C172" s="1470"/>
      <c r="D172" s="1539" t="s">
        <v>1287</v>
      </c>
      <c r="E172" s="1501">
        <v>8240</v>
      </c>
      <c r="F172" s="1481"/>
      <c r="G172" s="1540" t="s">
        <v>1288</v>
      </c>
      <c r="H172" s="1541" t="s">
        <v>477</v>
      </c>
      <c r="I172" s="1486"/>
      <c r="J172" s="1499" t="s">
        <v>1740</v>
      </c>
      <c r="K172" s="1492" t="s">
        <v>1741</v>
      </c>
      <c r="L172" s="1529">
        <f>M172+N172</f>
        <v>0</v>
      </c>
      <c r="M172" s="1504">
        <f>дод.3!E338</f>
        <v>0</v>
      </c>
      <c r="N172" s="1504">
        <f>дод.3!M338</f>
        <v>0</v>
      </c>
      <c r="O172" s="1504">
        <f>N172</f>
        <v>0</v>
      </c>
    </row>
    <row r="173" spans="1:15" ht="41.4" hidden="1" x14ac:dyDescent="0.25">
      <c r="A173" s="1466"/>
      <c r="B173" s="1470"/>
      <c r="C173" s="1470"/>
      <c r="D173" s="1480" t="s">
        <v>1289</v>
      </c>
      <c r="E173" s="1492">
        <v>8312</v>
      </c>
      <c r="F173" s="1481"/>
      <c r="G173" s="1481" t="s">
        <v>1290</v>
      </c>
      <c r="H173" s="1493" t="s">
        <v>483</v>
      </c>
      <c r="I173" s="1499"/>
      <c r="J173" s="1517" t="s">
        <v>1715</v>
      </c>
      <c r="K173" s="1506" t="s">
        <v>1720</v>
      </c>
      <c r="L173" s="1529">
        <f>M173+N173</f>
        <v>0</v>
      </c>
      <c r="M173" s="1504">
        <f>дод.3!E339</f>
        <v>0</v>
      </c>
      <c r="N173" s="1504"/>
      <c r="O173" s="1504"/>
    </row>
    <row r="174" spans="1:15" ht="119.4" customHeight="1" x14ac:dyDescent="0.25">
      <c r="A174" s="1466"/>
      <c r="B174" s="1470"/>
      <c r="C174" s="1470"/>
      <c r="D174" s="1480" t="s">
        <v>1742</v>
      </c>
      <c r="E174" s="1492">
        <v>8841</v>
      </c>
      <c r="F174" s="1481" t="s">
        <v>1743</v>
      </c>
      <c r="G174" s="1481" t="s">
        <v>1118</v>
      </c>
      <c r="H174" s="1493" t="s">
        <v>1517</v>
      </c>
      <c r="I174" s="1486" t="s">
        <v>1655</v>
      </c>
      <c r="J174" s="1517" t="s">
        <v>1723</v>
      </c>
      <c r="K174" s="1506" t="s">
        <v>1744</v>
      </c>
      <c r="L174" s="1529">
        <f t="shared" si="3"/>
        <v>15062651</v>
      </c>
      <c r="M174" s="1504">
        <f>дод.4!F25</f>
        <v>15062651</v>
      </c>
      <c r="N174" s="1504">
        <f>дод.4!G25</f>
        <v>0</v>
      </c>
      <c r="O174" s="1504"/>
    </row>
    <row r="175" spans="1:15" ht="27.6" hidden="1" x14ac:dyDescent="0.25">
      <c r="A175" s="1466"/>
      <c r="B175" s="1470"/>
      <c r="C175" s="1470"/>
      <c r="D175" s="1539" t="s">
        <v>1295</v>
      </c>
      <c r="E175" s="1501">
        <v>9770</v>
      </c>
      <c r="F175" s="1481"/>
      <c r="G175" s="1540" t="s">
        <v>275</v>
      </c>
      <c r="H175" s="1541" t="s">
        <v>236</v>
      </c>
      <c r="I175" s="1486"/>
      <c r="J175" s="1499" t="s">
        <v>1740</v>
      </c>
      <c r="K175" s="1492" t="s">
        <v>1741</v>
      </c>
      <c r="L175" s="1529">
        <f t="shared" si="3"/>
        <v>0</v>
      </c>
      <c r="M175" s="1504">
        <f>дод.3!E345</f>
        <v>0</v>
      </c>
      <c r="N175" s="1504">
        <f>дод.3!M345</f>
        <v>0</v>
      </c>
      <c r="O175" s="1504">
        <f>N175</f>
        <v>0</v>
      </c>
    </row>
    <row r="176" spans="1:15" ht="13.8" hidden="1" x14ac:dyDescent="0.25">
      <c r="A176" s="1466"/>
      <c r="B176" s="1470"/>
      <c r="C176" s="1470"/>
      <c r="D176" s="1945" t="s">
        <v>1298</v>
      </c>
      <c r="E176" s="1947">
        <v>9800</v>
      </c>
      <c r="F176" s="1481"/>
      <c r="G176" s="1949" t="s">
        <v>275</v>
      </c>
      <c r="H176" s="1951" t="s">
        <v>1300</v>
      </c>
      <c r="I176" s="1486"/>
      <c r="J176" s="1517"/>
      <c r="K176" s="1506"/>
      <c r="L176" s="1529">
        <f>M176+N176</f>
        <v>0</v>
      </c>
      <c r="M176" s="1504">
        <f>SUM(M177:M181)</f>
        <v>0</v>
      </c>
      <c r="N176" s="1504">
        <f>SUM(N177:N181)</f>
        <v>0</v>
      </c>
      <c r="O176" s="1504">
        <f>SUM(O177:O181)</f>
        <v>0</v>
      </c>
    </row>
    <row r="177" spans="1:15" ht="51" hidden="1" customHeight="1" x14ac:dyDescent="0.25">
      <c r="A177" s="1466"/>
      <c r="B177" s="1470"/>
      <c r="C177" s="1470"/>
      <c r="D177" s="1946"/>
      <c r="E177" s="1948"/>
      <c r="F177" s="1481"/>
      <c r="G177" s="1950"/>
      <c r="H177" s="1952"/>
      <c r="I177" s="1486"/>
      <c r="J177" s="1499" t="s">
        <v>1745</v>
      </c>
      <c r="K177" s="1492" t="s">
        <v>1746</v>
      </c>
      <c r="L177" s="1529">
        <f t="shared" si="3"/>
        <v>0</v>
      </c>
      <c r="M177" s="1504">
        <f>дод.3!E347</f>
        <v>0</v>
      </c>
      <c r="N177" s="1504">
        <f>дод.3!M347</f>
        <v>0</v>
      </c>
      <c r="O177" s="1504"/>
    </row>
    <row r="178" spans="1:15" ht="51" hidden="1" customHeight="1" x14ac:dyDescent="0.25">
      <c r="A178" s="1466"/>
      <c r="B178" s="1470"/>
      <c r="C178" s="1470"/>
      <c r="D178" s="1946"/>
      <c r="E178" s="1948"/>
      <c r="F178" s="1481"/>
      <c r="G178" s="1950"/>
      <c r="H178" s="1952"/>
      <c r="I178" s="1486"/>
      <c r="J178" s="1499" t="s">
        <v>1740</v>
      </c>
      <c r="K178" s="1492" t="s">
        <v>1741</v>
      </c>
      <c r="L178" s="1529">
        <f t="shared" si="3"/>
        <v>0</v>
      </c>
      <c r="M178" s="1504">
        <f>дод.3!E348</f>
        <v>0</v>
      </c>
      <c r="N178" s="1504">
        <f>дод.3!M348</f>
        <v>0</v>
      </c>
      <c r="O178" s="1504">
        <f>N178</f>
        <v>0</v>
      </c>
    </row>
    <row r="179" spans="1:15" ht="43.5" hidden="1" customHeight="1" x14ac:dyDescent="0.25">
      <c r="A179" s="1466"/>
      <c r="B179" s="1470"/>
      <c r="C179" s="1470"/>
      <c r="D179" s="1946"/>
      <c r="E179" s="1948"/>
      <c r="F179" s="1481"/>
      <c r="G179" s="1950"/>
      <c r="H179" s="1952"/>
      <c r="I179" s="1486"/>
      <c r="J179" s="1499" t="s">
        <v>1747</v>
      </c>
      <c r="K179" s="1492" t="s">
        <v>1748</v>
      </c>
      <c r="L179" s="1529">
        <f t="shared" si="3"/>
        <v>0</v>
      </c>
      <c r="M179" s="1504">
        <f>дод.3!E349</f>
        <v>0</v>
      </c>
      <c r="N179" s="1504">
        <f>дод.3!M349</f>
        <v>0</v>
      </c>
      <c r="O179" s="1504">
        <f>N179</f>
        <v>0</v>
      </c>
    </row>
    <row r="180" spans="1:15" ht="43.5" hidden="1" customHeight="1" x14ac:dyDescent="0.25">
      <c r="A180" s="1466"/>
      <c r="B180" s="1470"/>
      <c r="C180" s="1470"/>
      <c r="D180" s="1946"/>
      <c r="E180" s="1948"/>
      <c r="F180" s="1481"/>
      <c r="G180" s="1950"/>
      <c r="H180" s="1952"/>
      <c r="I180" s="1486"/>
      <c r="J180" s="1499" t="s">
        <v>1749</v>
      </c>
      <c r="K180" s="1492" t="s">
        <v>1750</v>
      </c>
      <c r="L180" s="1529">
        <f t="shared" si="3"/>
        <v>0</v>
      </c>
      <c r="M180" s="1504">
        <f>дод.3!E350</f>
        <v>0</v>
      </c>
      <c r="N180" s="1504">
        <f>дод.3!M350</f>
        <v>0</v>
      </c>
      <c r="O180" s="1504">
        <f>N180</f>
        <v>0</v>
      </c>
    </row>
    <row r="181" spans="1:15" ht="45.6" hidden="1" customHeight="1" x14ac:dyDescent="0.25">
      <c r="A181" s="1466"/>
      <c r="B181" s="1470"/>
      <c r="C181" s="1470"/>
      <c r="D181" s="1953"/>
      <c r="E181" s="1954"/>
      <c r="F181" s="1481"/>
      <c r="G181" s="1955"/>
      <c r="H181" s="1956"/>
      <c r="I181" s="1486"/>
      <c r="J181" s="1499" t="s">
        <v>1751</v>
      </c>
      <c r="K181" s="1492" t="s">
        <v>1752</v>
      </c>
      <c r="L181" s="1529">
        <f t="shared" si="3"/>
        <v>0</v>
      </c>
      <c r="M181" s="1504">
        <f>дод.3!E351</f>
        <v>0</v>
      </c>
      <c r="N181" s="1504">
        <f>дод.3!M351</f>
        <v>0</v>
      </c>
      <c r="O181" s="1504">
        <f>дод.3!N351</f>
        <v>0</v>
      </c>
    </row>
    <row r="182" spans="1:15" ht="55.95" hidden="1" customHeight="1" x14ac:dyDescent="0.25">
      <c r="A182" s="1466"/>
      <c r="B182" s="1470"/>
      <c r="C182" s="1470"/>
      <c r="D182" s="1946" t="s">
        <v>1305</v>
      </c>
      <c r="E182" s="1948">
        <v>9820</v>
      </c>
      <c r="F182" s="1481"/>
      <c r="G182" s="1950" t="s">
        <v>275</v>
      </c>
      <c r="H182" s="1952" t="s">
        <v>564</v>
      </c>
      <c r="I182" s="1486"/>
      <c r="J182" s="1499" t="s">
        <v>1753</v>
      </c>
      <c r="K182" s="1492" t="s">
        <v>1754</v>
      </c>
      <c r="L182" s="1529">
        <f>M182+N182</f>
        <v>0</v>
      </c>
      <c r="M182" s="1504">
        <f>дод.3!E354</f>
        <v>0</v>
      </c>
      <c r="N182" s="1504">
        <f>дод.3!M354</f>
        <v>0</v>
      </c>
      <c r="O182" s="1504">
        <f>N182</f>
        <v>0</v>
      </c>
    </row>
    <row r="183" spans="1:15" ht="142.5" hidden="1" customHeight="1" x14ac:dyDescent="0.25">
      <c r="A183" s="1466"/>
      <c r="B183" s="1470"/>
      <c r="C183" s="1470"/>
      <c r="D183" s="1953"/>
      <c r="E183" s="1954"/>
      <c r="F183" s="1481"/>
      <c r="G183" s="1955"/>
      <c r="H183" s="1956"/>
      <c r="I183" s="1486"/>
      <c r="J183" s="1499" t="s">
        <v>1755</v>
      </c>
      <c r="K183" s="1492" t="s">
        <v>1756</v>
      </c>
      <c r="L183" s="1529">
        <f>M183+N183</f>
        <v>0</v>
      </c>
      <c r="M183" s="1504">
        <f>дод.3!E353</f>
        <v>0</v>
      </c>
      <c r="N183" s="1504">
        <f>дод.3!M353</f>
        <v>0</v>
      </c>
      <c r="O183" s="1504">
        <f>N183</f>
        <v>0</v>
      </c>
    </row>
    <row r="184" spans="1:15" ht="13.65" customHeight="1" x14ac:dyDescent="0.25">
      <c r="A184" s="1466"/>
      <c r="B184" s="1470"/>
      <c r="C184" s="1470"/>
      <c r="D184" s="1475" t="s">
        <v>1309</v>
      </c>
      <c r="E184" s="1476"/>
      <c r="F184" s="1476"/>
      <c r="G184" s="1476"/>
      <c r="H184" s="1533" t="s">
        <v>1310</v>
      </c>
      <c r="I184" s="1477" t="s">
        <v>1708</v>
      </c>
      <c r="J184" s="1527"/>
      <c r="K184" s="1527"/>
      <c r="L184" s="1528">
        <f t="shared" ref="L184:L202" si="4">M184+N184</f>
        <v>1000000</v>
      </c>
      <c r="M184" s="1528">
        <f>M185</f>
        <v>1000000</v>
      </c>
      <c r="N184" s="1528">
        <f>N185</f>
        <v>0</v>
      </c>
      <c r="O184" s="1528">
        <f>O185</f>
        <v>0</v>
      </c>
    </row>
    <row r="185" spans="1:15" ht="13.65" customHeight="1" x14ac:dyDescent="0.25">
      <c r="A185" s="1466"/>
      <c r="B185" s="1470"/>
      <c r="C185" s="1470"/>
      <c r="D185" s="1480" t="s">
        <v>1311</v>
      </c>
      <c r="E185" s="1481"/>
      <c r="F185" s="1481"/>
      <c r="G185" s="1481"/>
      <c r="H185" s="1534" t="s">
        <v>1310</v>
      </c>
      <c r="I185" s="1482" t="s">
        <v>1708</v>
      </c>
      <c r="J185" s="1517"/>
      <c r="K185" s="1517"/>
      <c r="L185" s="1529">
        <f t="shared" si="4"/>
        <v>1000000</v>
      </c>
      <c r="M185" s="1529">
        <f>M186</f>
        <v>1000000</v>
      </c>
      <c r="N185" s="1529">
        <f>N976</f>
        <v>0</v>
      </c>
      <c r="O185" s="1529">
        <f>O186</f>
        <v>0</v>
      </c>
    </row>
    <row r="186" spans="1:15" ht="55.2" x14ac:dyDescent="0.25">
      <c r="A186" s="1466"/>
      <c r="B186" s="1470"/>
      <c r="C186" s="1470"/>
      <c r="D186" s="1480" t="s">
        <v>1312</v>
      </c>
      <c r="E186" s="1481" t="s">
        <v>273</v>
      </c>
      <c r="F186" s="1481" t="s">
        <v>1757</v>
      </c>
      <c r="G186" s="1481" t="s">
        <v>885</v>
      </c>
      <c r="H186" s="1486" t="s">
        <v>886</v>
      </c>
      <c r="I186" s="1486" t="s">
        <v>268</v>
      </c>
      <c r="J186" s="1517" t="s">
        <v>1758</v>
      </c>
      <c r="K186" s="1506" t="s">
        <v>1759</v>
      </c>
      <c r="L186" s="1529">
        <f t="shared" si="4"/>
        <v>1000000</v>
      </c>
      <c r="M186" s="1504">
        <f>дод.3!E358</f>
        <v>1000000</v>
      </c>
      <c r="N186" s="1504"/>
      <c r="O186" s="1529"/>
    </row>
    <row r="187" spans="1:15" ht="13.8" x14ac:dyDescent="0.25">
      <c r="A187" s="1466"/>
      <c r="B187" s="1470" t="s">
        <v>1760</v>
      </c>
      <c r="C187" s="1470"/>
      <c r="D187" s="1475" t="s">
        <v>1314</v>
      </c>
      <c r="E187" s="1476"/>
      <c r="F187" s="1476"/>
      <c r="G187" s="1476"/>
      <c r="H187" s="1477" t="s">
        <v>1761</v>
      </c>
      <c r="I187" s="1477" t="s">
        <v>1762</v>
      </c>
      <c r="J187" s="1478"/>
      <c r="K187" s="1478"/>
      <c r="L187" s="1479">
        <f t="shared" si="4"/>
        <v>1561000</v>
      </c>
      <c r="M187" s="1479">
        <f>M188</f>
        <v>1561000</v>
      </c>
      <c r="N187" s="1479">
        <f>N188</f>
        <v>0</v>
      </c>
      <c r="O187" s="1479">
        <f>O188</f>
        <v>0</v>
      </c>
    </row>
    <row r="188" spans="1:15" ht="13.8" x14ac:dyDescent="0.25">
      <c r="A188" s="1466"/>
      <c r="B188" s="1470" t="s">
        <v>1760</v>
      </c>
      <c r="C188" s="1470"/>
      <c r="D188" s="1480" t="s">
        <v>1316</v>
      </c>
      <c r="E188" s="1481"/>
      <c r="F188" s="1481"/>
      <c r="G188" s="1481"/>
      <c r="H188" s="1482" t="s">
        <v>1761</v>
      </c>
      <c r="I188" s="1482" t="s">
        <v>1762</v>
      </c>
      <c r="J188" s="1483"/>
      <c r="K188" s="1483"/>
      <c r="L188" s="1484">
        <f>M188+N188</f>
        <v>1561000</v>
      </c>
      <c r="M188" s="1484">
        <f>M190+M196+M193</f>
        <v>1561000</v>
      </c>
      <c r="N188" s="1484">
        <f>SUM(N189:N202)</f>
        <v>0</v>
      </c>
      <c r="O188" s="1484">
        <f>SUM(O189:O202)</f>
        <v>0</v>
      </c>
    </row>
    <row r="189" spans="1:15" ht="41.4" hidden="1" x14ac:dyDescent="0.25">
      <c r="A189" s="1466"/>
      <c r="B189" s="1470"/>
      <c r="C189" s="1470"/>
      <c r="D189" s="1480" t="s">
        <v>1317</v>
      </c>
      <c r="E189" s="1481" t="s">
        <v>273</v>
      </c>
      <c r="F189" s="1481" t="s">
        <v>1763</v>
      </c>
      <c r="G189" s="1481" t="s">
        <v>885</v>
      </c>
      <c r="H189" s="1486" t="s">
        <v>1353</v>
      </c>
      <c r="I189" s="1486" t="s">
        <v>1764</v>
      </c>
      <c r="J189" s="1490" t="s">
        <v>1596</v>
      </c>
      <c r="K189" s="1488" t="s">
        <v>1597</v>
      </c>
      <c r="L189" s="1484">
        <f>M189+N189</f>
        <v>0</v>
      </c>
      <c r="M189" s="1485">
        <f>дод.3!E362</f>
        <v>0</v>
      </c>
      <c r="N189" s="1485">
        <f>дод.3!N361</f>
        <v>0</v>
      </c>
      <c r="O189" s="1485">
        <f>N189</f>
        <v>0</v>
      </c>
    </row>
    <row r="190" spans="1:15" ht="16.2" customHeight="1" x14ac:dyDescent="0.25">
      <c r="A190" s="1466"/>
      <c r="B190" s="1470"/>
      <c r="C190" s="1470"/>
      <c r="D190" s="1960" t="s">
        <v>1765</v>
      </c>
      <c r="E190" s="1961" t="s">
        <v>275</v>
      </c>
      <c r="F190" s="1481"/>
      <c r="G190" s="1961" t="s">
        <v>1319</v>
      </c>
      <c r="H190" s="1963" t="s">
        <v>1320</v>
      </c>
      <c r="I190" s="1486"/>
      <c r="J190" s="1517"/>
      <c r="K190" s="1506"/>
      <c r="L190" s="1484">
        <f>L191+L192</f>
        <v>931000</v>
      </c>
      <c r="M190" s="1485">
        <f>M191+M192</f>
        <v>931000</v>
      </c>
      <c r="N190" s="1485"/>
      <c r="O190" s="1485"/>
    </row>
    <row r="191" spans="1:15" ht="41.4" x14ac:dyDescent="0.25">
      <c r="A191" s="1466"/>
      <c r="B191" s="1470"/>
      <c r="C191" s="1470"/>
      <c r="D191" s="1960"/>
      <c r="E191" s="1961"/>
      <c r="F191" s="1481" t="s">
        <v>1763</v>
      </c>
      <c r="G191" s="1961"/>
      <c r="H191" s="1963"/>
      <c r="I191" s="1486" t="s">
        <v>1764</v>
      </c>
      <c r="J191" s="1489" t="s">
        <v>1766</v>
      </c>
      <c r="K191" s="1506" t="s">
        <v>1767</v>
      </c>
      <c r="L191" s="1484">
        <f t="shared" si="4"/>
        <v>931000</v>
      </c>
      <c r="M191" s="1485">
        <f>дод.3!E364</f>
        <v>931000</v>
      </c>
      <c r="N191" s="1485"/>
      <c r="O191" s="1485"/>
    </row>
    <row r="192" spans="1:15" ht="0.6" customHeight="1" x14ac:dyDescent="0.25">
      <c r="A192" s="1466"/>
      <c r="B192" s="1470"/>
      <c r="C192" s="1470"/>
      <c r="D192" s="1960"/>
      <c r="E192" s="1961"/>
      <c r="F192" s="1481"/>
      <c r="G192" s="1961"/>
      <c r="H192" s="1963"/>
      <c r="I192" s="1486"/>
      <c r="J192" s="1490" t="s">
        <v>1322</v>
      </c>
      <c r="K192" s="1506" t="s">
        <v>1768</v>
      </c>
      <c r="L192" s="1484">
        <f t="shared" si="4"/>
        <v>0</v>
      </c>
      <c r="M192" s="1485">
        <f>дод.3!E365</f>
        <v>0</v>
      </c>
      <c r="N192" s="1485">
        <f>дод.3!M365</f>
        <v>0</v>
      </c>
      <c r="O192" s="1485">
        <f>N192</f>
        <v>0</v>
      </c>
    </row>
    <row r="193" spans="1:15" ht="31.2" customHeight="1" x14ac:dyDescent="0.25">
      <c r="A193" s="1466"/>
      <c r="B193" s="1470"/>
      <c r="C193" s="1470"/>
      <c r="D193" s="1511" t="s">
        <v>1769</v>
      </c>
      <c r="E193" s="1513" t="s">
        <v>1323</v>
      </c>
      <c r="F193" s="1481"/>
      <c r="G193" s="1513" t="s">
        <v>994</v>
      </c>
      <c r="H193" s="1514" t="s">
        <v>1324</v>
      </c>
      <c r="I193" s="1486"/>
      <c r="J193" s="1489" t="s">
        <v>1770</v>
      </c>
      <c r="K193" s="1506" t="s">
        <v>1771</v>
      </c>
      <c r="L193" s="1484">
        <f t="shared" si="4"/>
        <v>630000</v>
      </c>
      <c r="M193" s="1485">
        <f>дод.3!E366</f>
        <v>630000</v>
      </c>
      <c r="N193" s="1485"/>
      <c r="O193" s="1485"/>
    </row>
    <row r="194" spans="1:15" ht="41.4" hidden="1" x14ac:dyDescent="0.25">
      <c r="A194" s="1466"/>
      <c r="B194" s="1470"/>
      <c r="C194" s="1470"/>
      <c r="D194" s="1480" t="s">
        <v>1772</v>
      </c>
      <c r="E194" s="1481" t="s">
        <v>415</v>
      </c>
      <c r="F194" s="1481"/>
      <c r="G194" s="1481" t="s">
        <v>1023</v>
      </c>
      <c r="H194" s="1493" t="s">
        <v>414</v>
      </c>
      <c r="I194" s="1486"/>
      <c r="J194" s="1489" t="s">
        <v>1773</v>
      </c>
      <c r="K194" s="1506" t="s">
        <v>1774</v>
      </c>
      <c r="L194" s="1484">
        <f t="shared" si="4"/>
        <v>0</v>
      </c>
      <c r="M194" s="1485"/>
      <c r="N194" s="1485"/>
      <c r="O194" s="1485"/>
    </row>
    <row r="195" spans="1:15" ht="27.6" hidden="1" x14ac:dyDescent="0.25">
      <c r="A195" s="1466"/>
      <c r="B195" s="1470"/>
      <c r="C195" s="1470"/>
      <c r="D195" s="1480" t="s">
        <v>1331</v>
      </c>
      <c r="E195" s="1492">
        <v>7370</v>
      </c>
      <c r="F195" s="1481" t="s">
        <v>1775</v>
      </c>
      <c r="G195" s="1481" t="s">
        <v>1038</v>
      </c>
      <c r="H195" s="1493" t="s">
        <v>418</v>
      </c>
      <c r="I195" s="1525"/>
      <c r="J195" s="1489" t="s">
        <v>1776</v>
      </c>
      <c r="K195" s="1506" t="s">
        <v>1777</v>
      </c>
      <c r="L195" s="1484">
        <f t="shared" si="4"/>
        <v>0</v>
      </c>
      <c r="M195" s="1485">
        <f>дод.3!E378</f>
        <v>0</v>
      </c>
      <c r="N195" s="1485">
        <f>дод.3!M378</f>
        <v>0</v>
      </c>
      <c r="O195" s="1485">
        <f t="shared" ref="O195:O200" si="5">N195</f>
        <v>0</v>
      </c>
    </row>
    <row r="196" spans="1:15" ht="49.2" hidden="1" customHeight="1" x14ac:dyDescent="0.25">
      <c r="A196" s="1466"/>
      <c r="B196" s="1470"/>
      <c r="C196" s="1470"/>
      <c r="D196" s="1960" t="s">
        <v>1335</v>
      </c>
      <c r="E196" s="1964">
        <v>7461</v>
      </c>
      <c r="F196" s="1481"/>
      <c r="G196" s="1961" t="s">
        <v>1272</v>
      </c>
      <c r="H196" s="1963" t="s">
        <v>441</v>
      </c>
      <c r="I196" s="1525" t="s">
        <v>1764</v>
      </c>
      <c r="J196" s="1517" t="s">
        <v>1778</v>
      </c>
      <c r="K196" s="1506" t="s">
        <v>1779</v>
      </c>
      <c r="L196" s="1484">
        <f t="shared" si="4"/>
        <v>0</v>
      </c>
      <c r="M196" s="1485">
        <f>дод.3!E380</f>
        <v>0</v>
      </c>
      <c r="N196" s="1485">
        <f>дод.3!M380</f>
        <v>0</v>
      </c>
      <c r="O196" s="1485">
        <f t="shared" si="5"/>
        <v>0</v>
      </c>
    </row>
    <row r="197" spans="1:15" ht="46.2" hidden="1" customHeight="1" x14ac:dyDescent="0.25">
      <c r="A197" s="1466"/>
      <c r="B197" s="1470"/>
      <c r="C197" s="1470"/>
      <c r="D197" s="1960"/>
      <c r="E197" s="1964"/>
      <c r="F197" s="1481"/>
      <c r="G197" s="1961"/>
      <c r="H197" s="1963"/>
      <c r="I197" s="1525"/>
      <c r="J197" s="1542" t="s">
        <v>1780</v>
      </c>
      <c r="K197" s="1543" t="s">
        <v>1781</v>
      </c>
      <c r="L197" s="1484">
        <f t="shared" si="4"/>
        <v>0</v>
      </c>
      <c r="M197" s="1485"/>
      <c r="N197" s="1485"/>
      <c r="O197" s="1485">
        <f t="shared" si="5"/>
        <v>0</v>
      </c>
    </row>
    <row r="198" spans="1:15" ht="57" hidden="1" customHeight="1" x14ac:dyDescent="0.25">
      <c r="A198" s="1466"/>
      <c r="B198" s="1470"/>
      <c r="C198" s="1470"/>
      <c r="D198" s="1480" t="s">
        <v>1336</v>
      </c>
      <c r="E198" s="1492">
        <v>7650</v>
      </c>
      <c r="F198" s="1481"/>
      <c r="G198" s="1481" t="s">
        <v>1038</v>
      </c>
      <c r="H198" s="1493" t="s">
        <v>455</v>
      </c>
      <c r="I198" s="1525"/>
      <c r="J198" s="1487" t="s">
        <v>1766</v>
      </c>
      <c r="K198" s="1506" t="s">
        <v>1767</v>
      </c>
      <c r="L198" s="1484">
        <f t="shared" si="4"/>
        <v>0</v>
      </c>
      <c r="M198" s="1485"/>
      <c r="N198" s="1485">
        <f>дод.3!M381</f>
        <v>0</v>
      </c>
      <c r="O198" s="1485">
        <f t="shared" si="5"/>
        <v>0</v>
      </c>
    </row>
    <row r="199" spans="1:15" ht="69.599999999999994" hidden="1" customHeight="1" x14ac:dyDescent="0.25">
      <c r="A199" s="1466"/>
      <c r="B199" s="1470"/>
      <c r="C199" s="1470"/>
      <c r="D199" s="1480" t="s">
        <v>1337</v>
      </c>
      <c r="E199" s="1492">
        <v>7660</v>
      </c>
      <c r="F199" s="1481"/>
      <c r="G199" s="1481" t="s">
        <v>1038</v>
      </c>
      <c r="H199" s="1493" t="s">
        <v>457</v>
      </c>
      <c r="I199" s="1525"/>
      <c r="J199" s="1487" t="s">
        <v>1766</v>
      </c>
      <c r="K199" s="1506" t="s">
        <v>1767</v>
      </c>
      <c r="L199" s="1484">
        <f t="shared" si="4"/>
        <v>0</v>
      </c>
      <c r="M199" s="1485"/>
      <c r="N199" s="1485">
        <f>дод.3!M382</f>
        <v>0</v>
      </c>
      <c r="O199" s="1485">
        <f t="shared" si="5"/>
        <v>0</v>
      </c>
    </row>
    <row r="200" spans="1:15" ht="41.4" hidden="1" x14ac:dyDescent="0.25">
      <c r="A200" s="1466"/>
      <c r="B200" s="1470"/>
      <c r="C200" s="1470"/>
      <c r="D200" s="1480" t="s">
        <v>1338</v>
      </c>
      <c r="E200" s="1492">
        <v>8240</v>
      </c>
      <c r="F200" s="1481"/>
      <c r="G200" s="1481" t="s">
        <v>1288</v>
      </c>
      <c r="H200" s="1541" t="s">
        <v>477</v>
      </c>
      <c r="I200" s="1486"/>
      <c r="J200" s="1532" t="s">
        <v>1782</v>
      </c>
      <c r="K200" s="1506" t="s">
        <v>1783</v>
      </c>
      <c r="L200" s="1484">
        <f t="shared" si="4"/>
        <v>0</v>
      </c>
      <c r="M200" s="1485"/>
      <c r="N200" s="1485">
        <f>дод.3!M383</f>
        <v>0</v>
      </c>
      <c r="O200" s="1485">
        <f t="shared" si="5"/>
        <v>0</v>
      </c>
    </row>
    <row r="201" spans="1:15" ht="41.4" hidden="1" x14ac:dyDescent="0.25">
      <c r="A201" s="1466"/>
      <c r="B201" s="1470"/>
      <c r="C201" s="1470"/>
      <c r="D201" s="1480" t="s">
        <v>1339</v>
      </c>
      <c r="E201" s="1492">
        <v>8311</v>
      </c>
      <c r="F201" s="1481"/>
      <c r="G201" s="1481" t="s">
        <v>1341</v>
      </c>
      <c r="H201" s="1493" t="s">
        <v>545</v>
      </c>
      <c r="I201" s="1486"/>
      <c r="J201" s="1489" t="s">
        <v>1784</v>
      </c>
      <c r="K201" s="1506" t="s">
        <v>1774</v>
      </c>
      <c r="L201" s="1484">
        <f t="shared" si="4"/>
        <v>0</v>
      </c>
      <c r="M201" s="1485"/>
      <c r="N201" s="1485">
        <f>дод.3!M384</f>
        <v>0</v>
      </c>
      <c r="O201" s="1485"/>
    </row>
    <row r="202" spans="1:15" ht="41.4" hidden="1" x14ac:dyDescent="0.25">
      <c r="A202" s="1466"/>
      <c r="B202" s="1470"/>
      <c r="C202" s="1470"/>
      <c r="D202" s="1480" t="s">
        <v>1342</v>
      </c>
      <c r="E202" s="1492">
        <v>8312</v>
      </c>
      <c r="F202" s="1481"/>
      <c r="G202" s="1481" t="s">
        <v>1290</v>
      </c>
      <c r="H202" s="1493" t="s">
        <v>483</v>
      </c>
      <c r="I202" s="1486"/>
      <c r="J202" s="1490" t="s">
        <v>1596</v>
      </c>
      <c r="K202" s="1488" t="s">
        <v>1597</v>
      </c>
      <c r="L202" s="1484">
        <f t="shared" si="4"/>
        <v>0</v>
      </c>
      <c r="M202" s="1544"/>
      <c r="N202" s="1485">
        <f>дод.3!N385</f>
        <v>0</v>
      </c>
      <c r="O202" s="1485">
        <f>N202</f>
        <v>0</v>
      </c>
    </row>
    <row r="203" spans="1:15" s="1547" customFormat="1" ht="27.6" x14ac:dyDescent="0.25">
      <c r="A203" s="1545"/>
      <c r="B203" s="1480" t="s">
        <v>1785</v>
      </c>
      <c r="C203" s="1480"/>
      <c r="D203" s="1475" t="s">
        <v>1349</v>
      </c>
      <c r="E203" s="1476"/>
      <c r="F203" s="1475"/>
      <c r="G203" s="1475"/>
      <c r="H203" s="1533" t="s">
        <v>1786</v>
      </c>
      <c r="I203" s="1533" t="s">
        <v>1787</v>
      </c>
      <c r="J203" s="1546"/>
      <c r="K203" s="1546"/>
      <c r="L203" s="1479">
        <f>M203+N203</f>
        <v>494221647</v>
      </c>
      <c r="M203" s="1479">
        <f>M204</f>
        <v>467741647</v>
      </c>
      <c r="N203" s="1479">
        <f>N204</f>
        <v>26480000</v>
      </c>
      <c r="O203" s="1479">
        <f>O204</f>
        <v>0</v>
      </c>
    </row>
    <row r="204" spans="1:15" s="1547" customFormat="1" ht="27.6" x14ac:dyDescent="0.25">
      <c r="A204" s="1545"/>
      <c r="B204" s="1480" t="s">
        <v>1785</v>
      </c>
      <c r="C204" s="1480"/>
      <c r="D204" s="1480" t="s">
        <v>1351</v>
      </c>
      <c r="E204" s="1481"/>
      <c r="F204" s="1480"/>
      <c r="G204" s="1480"/>
      <c r="H204" s="1534" t="s">
        <v>1786</v>
      </c>
      <c r="I204" s="1534" t="s">
        <v>1787</v>
      </c>
      <c r="J204" s="1548"/>
      <c r="K204" s="1548"/>
      <c r="L204" s="1484">
        <f>M204+N204</f>
        <v>494221647</v>
      </c>
      <c r="M204" s="1484">
        <f>M206+M218+M213+M215+M219+M212+M205+M214</f>
        <v>467741647</v>
      </c>
      <c r="N204" s="1484">
        <f>N206+N218+N213+N215+N219+N216+N217+N212+N205+N214+N220</f>
        <v>26480000</v>
      </c>
      <c r="O204" s="1484">
        <f>O206+O218+O213+O215+O219+O216+O217+O212+O205+O214</f>
        <v>0</v>
      </c>
    </row>
    <row r="205" spans="1:15" ht="41.4" hidden="1" customHeight="1" x14ac:dyDescent="0.25">
      <c r="A205" s="1466"/>
      <c r="B205" s="1470"/>
      <c r="C205" s="1470"/>
      <c r="D205" s="1480" t="s">
        <v>1352</v>
      </c>
      <c r="E205" s="1481" t="s">
        <v>273</v>
      </c>
      <c r="F205" s="1481" t="s">
        <v>1757</v>
      </c>
      <c r="G205" s="1481" t="s">
        <v>885</v>
      </c>
      <c r="H205" s="1486" t="s">
        <v>886</v>
      </c>
      <c r="I205" s="1486" t="s">
        <v>268</v>
      </c>
      <c r="J205" s="1490" t="s">
        <v>1596</v>
      </c>
      <c r="K205" s="1488" t="s">
        <v>1597</v>
      </c>
      <c r="L205" s="1529">
        <f>M205+N205</f>
        <v>0</v>
      </c>
      <c r="M205" s="1504">
        <f>дод.3!E377</f>
        <v>0</v>
      </c>
      <c r="N205" s="1504">
        <f>дод.3!N392</f>
        <v>0</v>
      </c>
      <c r="O205" s="1504">
        <f>N205</f>
        <v>0</v>
      </c>
    </row>
    <row r="206" spans="1:15" ht="13.8" x14ac:dyDescent="0.25">
      <c r="A206" s="1466"/>
      <c r="B206" s="1470"/>
      <c r="C206" s="1470"/>
      <c r="D206" s="1945" t="s">
        <v>1354</v>
      </c>
      <c r="E206" s="1949" t="s">
        <v>394</v>
      </c>
      <c r="F206" s="1481"/>
      <c r="G206" s="1949" t="s">
        <v>1241</v>
      </c>
      <c r="H206" s="1951" t="s">
        <v>393</v>
      </c>
      <c r="I206" s="1482"/>
      <c r="J206" s="1531"/>
      <c r="K206" s="1506"/>
      <c r="L206" s="1529">
        <f>M206+N206</f>
        <v>116404933</v>
      </c>
      <c r="M206" s="1504">
        <f>SUM(M207:M211)</f>
        <v>116404933</v>
      </c>
      <c r="N206" s="1504">
        <f>SUM(N207:N211)</f>
        <v>0</v>
      </c>
      <c r="O206" s="1504">
        <f>SUM(O207:O211)</f>
        <v>0</v>
      </c>
    </row>
    <row r="207" spans="1:15" ht="48" customHeight="1" x14ac:dyDescent="0.25">
      <c r="A207" s="1466"/>
      <c r="B207" s="1470"/>
      <c r="C207" s="1470"/>
      <c r="D207" s="1946"/>
      <c r="E207" s="1950"/>
      <c r="F207" s="1481"/>
      <c r="G207" s="1950"/>
      <c r="H207" s="1952"/>
      <c r="I207" s="1549"/>
      <c r="J207" s="1517" t="s">
        <v>1718</v>
      </c>
      <c r="K207" s="1506" t="s">
        <v>1719</v>
      </c>
      <c r="L207" s="1529">
        <f>M207+N207</f>
        <v>12831180</v>
      </c>
      <c r="M207" s="1504">
        <v>12831180</v>
      </c>
      <c r="N207" s="1504"/>
      <c r="O207" s="1504"/>
    </row>
    <row r="208" spans="1:15" ht="45.6" customHeight="1" x14ac:dyDescent="0.25">
      <c r="A208" s="1466"/>
      <c r="B208" s="1470"/>
      <c r="C208" s="1470"/>
      <c r="D208" s="1946"/>
      <c r="E208" s="1950"/>
      <c r="F208" s="1481"/>
      <c r="G208" s="1950"/>
      <c r="H208" s="1952"/>
      <c r="I208" s="1549"/>
      <c r="J208" s="1550" t="s">
        <v>1788</v>
      </c>
      <c r="K208" s="1506" t="s">
        <v>1789</v>
      </c>
      <c r="L208" s="1535">
        <f>M208</f>
        <v>755270</v>
      </c>
      <c r="M208" s="1536">
        <v>755270</v>
      </c>
      <c r="N208" s="1504"/>
      <c r="O208" s="1504"/>
    </row>
    <row r="209" spans="1:15" ht="27.6" x14ac:dyDescent="0.25">
      <c r="A209" s="1466"/>
      <c r="B209" s="1470"/>
      <c r="C209" s="1470"/>
      <c r="D209" s="1946"/>
      <c r="E209" s="1950"/>
      <c r="F209" s="1481"/>
      <c r="G209" s="1950"/>
      <c r="H209" s="1952"/>
      <c r="I209" s="1549"/>
      <c r="J209" s="1517" t="s">
        <v>1790</v>
      </c>
      <c r="K209" s="1506" t="s">
        <v>1791</v>
      </c>
      <c r="L209" s="1535">
        <f>M209</f>
        <v>5259651</v>
      </c>
      <c r="M209" s="1536">
        <f>5159651+100000</f>
        <v>5259651</v>
      </c>
      <c r="N209" s="1504"/>
      <c r="O209" s="1504"/>
    </row>
    <row r="210" spans="1:15" ht="41.4" hidden="1" x14ac:dyDescent="0.25">
      <c r="A210" s="1466"/>
      <c r="B210" s="1470"/>
      <c r="C210" s="1470"/>
      <c r="D210" s="1946"/>
      <c r="E210" s="1950"/>
      <c r="F210" s="1481"/>
      <c r="G210" s="1950"/>
      <c r="H210" s="1952"/>
      <c r="I210" s="1549"/>
      <c r="J210" s="1490" t="s">
        <v>1596</v>
      </c>
      <c r="K210" s="1488" t="s">
        <v>1597</v>
      </c>
      <c r="L210" s="1535">
        <f>M210+N210</f>
        <v>0</v>
      </c>
      <c r="M210" s="1536"/>
      <c r="N210" s="1504">
        <f>дод.3!N393</f>
        <v>0</v>
      </c>
      <c r="O210" s="1504">
        <f>N210</f>
        <v>0</v>
      </c>
    </row>
    <row r="211" spans="1:15" ht="41.4" x14ac:dyDescent="0.25">
      <c r="A211" s="1466"/>
      <c r="B211" s="1470"/>
      <c r="C211" s="1470"/>
      <c r="D211" s="1953"/>
      <c r="E211" s="1955"/>
      <c r="F211" s="1481"/>
      <c r="G211" s="1955"/>
      <c r="H211" s="1956"/>
      <c r="I211" s="1549"/>
      <c r="J211" s="1517" t="s">
        <v>1715</v>
      </c>
      <c r="K211" s="1506" t="s">
        <v>1720</v>
      </c>
      <c r="L211" s="1529">
        <f t="shared" ref="L211:L221" si="6">M211+N211</f>
        <v>97558832</v>
      </c>
      <c r="M211" s="1504">
        <f>94558832+3000000</f>
        <v>97558832</v>
      </c>
      <c r="N211" s="1504"/>
      <c r="O211" s="1504"/>
    </row>
    <row r="212" spans="1:15" ht="31.8" customHeight="1" x14ac:dyDescent="0.25">
      <c r="A212" s="1466"/>
      <c r="B212" s="1470"/>
      <c r="C212" s="1470"/>
      <c r="D212" s="1511" t="s">
        <v>1355</v>
      </c>
      <c r="E212" s="1513" t="s">
        <v>407</v>
      </c>
      <c r="F212" s="1481"/>
      <c r="G212" s="1513" t="s">
        <v>1251</v>
      </c>
      <c r="H212" s="1551" t="s">
        <v>406</v>
      </c>
      <c r="I212" s="1549"/>
      <c r="J212" s="1517" t="s">
        <v>1725</v>
      </c>
      <c r="K212" s="1506" t="s">
        <v>1726</v>
      </c>
      <c r="L212" s="1529">
        <f>M212+N212</f>
        <v>2027714</v>
      </c>
      <c r="M212" s="1504">
        <f>дод.3!E394</f>
        <v>2027714</v>
      </c>
      <c r="N212" s="1504"/>
      <c r="O212" s="1504"/>
    </row>
    <row r="213" spans="1:15" ht="41.4" x14ac:dyDescent="0.25">
      <c r="A213" s="1466"/>
      <c r="B213" s="1470"/>
      <c r="C213" s="1470"/>
      <c r="D213" s="1480" t="s">
        <v>1357</v>
      </c>
      <c r="E213" s="1492">
        <v>7426</v>
      </c>
      <c r="F213" s="1481"/>
      <c r="G213" s="1481" t="s">
        <v>1270</v>
      </c>
      <c r="H213" s="1493" t="s">
        <v>437</v>
      </c>
      <c r="I213" s="1525"/>
      <c r="J213" s="1517" t="s">
        <v>1727</v>
      </c>
      <c r="K213" s="1506" t="s">
        <v>1792</v>
      </c>
      <c r="L213" s="1529">
        <f t="shared" si="6"/>
        <v>127002000</v>
      </c>
      <c r="M213" s="1504">
        <f>дод.3!E396</f>
        <v>127002000</v>
      </c>
      <c r="N213" s="1504"/>
      <c r="O213" s="1504"/>
    </row>
    <row r="214" spans="1:15" ht="41.4" hidden="1" x14ac:dyDescent="0.25">
      <c r="A214" s="1466"/>
      <c r="B214" s="1470"/>
      <c r="C214" s="1470"/>
      <c r="D214" s="1480" t="s">
        <v>1358</v>
      </c>
      <c r="E214" s="1492">
        <v>7450</v>
      </c>
      <c r="F214" s="1481"/>
      <c r="G214" s="1481" t="s">
        <v>1272</v>
      </c>
      <c r="H214" s="1493" t="s">
        <v>439</v>
      </c>
      <c r="I214" s="1525"/>
      <c r="J214" s="1517" t="s">
        <v>1727</v>
      </c>
      <c r="K214" s="1506" t="s">
        <v>1792</v>
      </c>
      <c r="L214" s="1529">
        <f t="shared" si="6"/>
        <v>0</v>
      </c>
      <c r="M214" s="1504">
        <f>дод.3!E397</f>
        <v>0</v>
      </c>
      <c r="N214" s="1504">
        <f>дод.3!N397</f>
        <v>0</v>
      </c>
      <c r="O214" s="1504">
        <f>N214</f>
        <v>0</v>
      </c>
    </row>
    <row r="215" spans="1:15" ht="49.65" customHeight="1" x14ac:dyDescent="0.25">
      <c r="A215" s="1466"/>
      <c r="B215" s="1470"/>
      <c r="C215" s="1470"/>
      <c r="D215" s="1480" t="s">
        <v>1359</v>
      </c>
      <c r="E215" s="1492">
        <v>7461</v>
      </c>
      <c r="F215" s="1481">
        <v>170703</v>
      </c>
      <c r="G215" s="1481" t="s">
        <v>1272</v>
      </c>
      <c r="H215" s="1493" t="s">
        <v>441</v>
      </c>
      <c r="I215" s="1525" t="s">
        <v>1764</v>
      </c>
      <c r="J215" s="1517" t="s">
        <v>1793</v>
      </c>
      <c r="K215" s="1506" t="s">
        <v>1794</v>
      </c>
      <c r="L215" s="1529">
        <f t="shared" si="6"/>
        <v>207800000</v>
      </c>
      <c r="M215" s="1504">
        <f>дод.3!E398</f>
        <v>207800000</v>
      </c>
      <c r="N215" s="1536">
        <f>дод.3!M398</f>
        <v>0</v>
      </c>
      <c r="O215" s="1536">
        <f>N215</f>
        <v>0</v>
      </c>
    </row>
    <row r="216" spans="1:15" ht="117" customHeight="1" x14ac:dyDescent="0.25">
      <c r="A216" s="1466"/>
      <c r="B216" s="1470"/>
      <c r="C216" s="1470"/>
      <c r="D216" s="1480" t="s">
        <v>1360</v>
      </c>
      <c r="E216" s="1492">
        <v>7691</v>
      </c>
      <c r="F216" s="1481"/>
      <c r="G216" s="1481" t="s">
        <v>1038</v>
      </c>
      <c r="H216" s="1538" t="s">
        <v>463</v>
      </c>
      <c r="I216" s="1525"/>
      <c r="J216" s="1531" t="s">
        <v>1718</v>
      </c>
      <c r="K216" s="1506" t="s">
        <v>1719</v>
      </c>
      <c r="L216" s="1529">
        <f t="shared" si="6"/>
        <v>970000</v>
      </c>
      <c r="M216" s="1504"/>
      <c r="N216" s="1504">
        <f>дод.3!M399</f>
        <v>970000</v>
      </c>
      <c r="O216" s="1504"/>
    </row>
    <row r="217" spans="1:15" ht="41.4" hidden="1" customHeight="1" x14ac:dyDescent="0.25">
      <c r="A217" s="1466"/>
      <c r="B217" s="1470"/>
      <c r="C217" s="1470"/>
      <c r="D217" s="1539" t="s">
        <v>1361</v>
      </c>
      <c r="E217" s="1501">
        <v>8240</v>
      </c>
      <c r="F217" s="1481"/>
      <c r="G217" s="1540" t="s">
        <v>1288</v>
      </c>
      <c r="H217" s="1541" t="s">
        <v>477</v>
      </c>
      <c r="I217" s="1486"/>
      <c r="J217" s="1532" t="s">
        <v>1782</v>
      </c>
      <c r="K217" s="1492" t="s">
        <v>1783</v>
      </c>
      <c r="L217" s="1529">
        <f t="shared" si="6"/>
        <v>0</v>
      </c>
      <c r="M217" s="1504"/>
      <c r="N217" s="1504">
        <f>дод.3!M400</f>
        <v>0</v>
      </c>
      <c r="O217" s="1504">
        <f>N217</f>
        <v>0</v>
      </c>
    </row>
    <row r="218" spans="1:15" ht="48.6" customHeight="1" x14ac:dyDescent="0.25">
      <c r="A218" s="1466"/>
      <c r="B218" s="1470"/>
      <c r="C218" s="1470"/>
      <c r="D218" s="1539" t="s">
        <v>1362</v>
      </c>
      <c r="E218" s="1501">
        <v>8312</v>
      </c>
      <c r="F218" s="1481"/>
      <c r="G218" s="1540" t="s">
        <v>1290</v>
      </c>
      <c r="H218" s="1552" t="s">
        <v>483</v>
      </c>
      <c r="I218" s="1499"/>
      <c r="J218" s="1517" t="s">
        <v>1790</v>
      </c>
      <c r="K218" s="1506" t="s">
        <v>1791</v>
      </c>
      <c r="L218" s="1529">
        <f t="shared" si="6"/>
        <v>14507000</v>
      </c>
      <c r="M218" s="1504">
        <f>дод.3!E401</f>
        <v>14507000</v>
      </c>
      <c r="N218" s="1504"/>
      <c r="O218" s="1504"/>
    </row>
    <row r="219" spans="1:15" ht="42.6" customHeight="1" x14ac:dyDescent="0.25">
      <c r="A219" s="1466"/>
      <c r="B219" s="1470"/>
      <c r="C219" s="1470"/>
      <c r="D219" s="1945" t="s">
        <v>1363</v>
      </c>
      <c r="E219" s="1947">
        <v>8340</v>
      </c>
      <c r="F219" s="1481" t="s">
        <v>1795</v>
      </c>
      <c r="G219" s="1949" t="s">
        <v>1292</v>
      </c>
      <c r="H219" s="1951" t="s">
        <v>487</v>
      </c>
      <c r="I219" s="1499" t="s">
        <v>1796</v>
      </c>
      <c r="J219" s="1517" t="s">
        <v>1718</v>
      </c>
      <c r="K219" s="1506" t="s">
        <v>1719</v>
      </c>
      <c r="L219" s="1529">
        <f t="shared" si="6"/>
        <v>22140000</v>
      </c>
      <c r="M219" s="1504"/>
      <c r="N219" s="1504">
        <f>дод.3!M402-3370000</f>
        <v>22140000</v>
      </c>
      <c r="O219" s="1504"/>
    </row>
    <row r="220" spans="1:15" ht="55.2" customHeight="1" x14ac:dyDescent="0.25">
      <c r="A220" s="1466"/>
      <c r="B220" s="1470"/>
      <c r="C220" s="1470"/>
      <c r="D220" s="1953"/>
      <c r="E220" s="1954"/>
      <c r="F220" s="1481"/>
      <c r="G220" s="1955"/>
      <c r="H220" s="1956"/>
      <c r="I220" s="1499"/>
      <c r="J220" s="1517" t="s">
        <v>1797</v>
      </c>
      <c r="K220" s="1506" t="s">
        <v>1798</v>
      </c>
      <c r="L220" s="1529">
        <f t="shared" si="6"/>
        <v>3370000</v>
      </c>
      <c r="M220" s="1504"/>
      <c r="N220" s="1504">
        <v>3370000</v>
      </c>
      <c r="O220" s="1504"/>
    </row>
    <row r="221" spans="1:15" s="1547" customFormat="1" ht="13.8" x14ac:dyDescent="0.25">
      <c r="A221" s="1545"/>
      <c r="B221" s="1480" t="s">
        <v>1785</v>
      </c>
      <c r="C221" s="1480"/>
      <c r="D221" s="1475" t="s">
        <v>1394</v>
      </c>
      <c r="E221" s="1476"/>
      <c r="F221" s="1475"/>
      <c r="G221" s="1475"/>
      <c r="H221" s="1533" t="s">
        <v>1799</v>
      </c>
      <c r="I221" s="1533" t="s">
        <v>1787</v>
      </c>
      <c r="J221" s="1546"/>
      <c r="K221" s="1546"/>
      <c r="L221" s="1479">
        <f t="shared" si="6"/>
        <v>397707</v>
      </c>
      <c r="M221" s="1479">
        <f>M222</f>
        <v>397707</v>
      </c>
      <c r="N221" s="1479">
        <f>N222</f>
        <v>0</v>
      </c>
      <c r="O221" s="1479">
        <f>O222</f>
        <v>0</v>
      </c>
    </row>
    <row r="222" spans="1:15" s="1547" customFormat="1" ht="13.8" x14ac:dyDescent="0.25">
      <c r="A222" s="1545"/>
      <c r="B222" s="1480" t="s">
        <v>1785</v>
      </c>
      <c r="C222" s="1480"/>
      <c r="D222" s="1480" t="s">
        <v>1396</v>
      </c>
      <c r="E222" s="1481"/>
      <c r="F222" s="1480"/>
      <c r="G222" s="1480"/>
      <c r="H222" s="1534" t="s">
        <v>1799</v>
      </c>
      <c r="I222" s="1534" t="s">
        <v>1787</v>
      </c>
      <c r="J222" s="1548"/>
      <c r="K222" s="1548"/>
      <c r="L222" s="1484">
        <f>L224+L231+L232+L233+L230+L229+L223</f>
        <v>397707</v>
      </c>
      <c r="M222" s="1484">
        <f>M224+M231+M232+M233+M230</f>
        <v>397707</v>
      </c>
      <c r="N222" s="1484">
        <f>N224+N229+N223</f>
        <v>0</v>
      </c>
      <c r="O222" s="1484">
        <f>O224+O229+O223</f>
        <v>0</v>
      </c>
    </row>
    <row r="223" spans="1:15" ht="60" hidden="1" customHeight="1" x14ac:dyDescent="0.25">
      <c r="A223" s="1466"/>
      <c r="B223" s="1470"/>
      <c r="C223" s="1470"/>
      <c r="D223" s="1480" t="s">
        <v>1397</v>
      </c>
      <c r="E223" s="1481" t="s">
        <v>273</v>
      </c>
      <c r="F223" s="1481" t="s">
        <v>1757</v>
      </c>
      <c r="G223" s="1481" t="s">
        <v>885</v>
      </c>
      <c r="H223" s="1486" t="s">
        <v>886</v>
      </c>
      <c r="I223" s="1486" t="s">
        <v>268</v>
      </c>
      <c r="J223" s="1490" t="s">
        <v>1596</v>
      </c>
      <c r="K223" s="1488" t="s">
        <v>1597</v>
      </c>
      <c r="L223" s="1529">
        <f>M223+N223</f>
        <v>0</v>
      </c>
      <c r="M223" s="1504"/>
      <c r="N223" s="1504">
        <f>дод.3!N430</f>
        <v>0</v>
      </c>
      <c r="O223" s="1504">
        <f>N223</f>
        <v>0</v>
      </c>
    </row>
    <row r="224" spans="1:15" s="1547" customFormat="1" ht="13.8" hidden="1" x14ac:dyDescent="0.25">
      <c r="A224" s="1545"/>
      <c r="B224" s="1480"/>
      <c r="C224" s="1480"/>
      <c r="D224" s="1960" t="s">
        <v>1398</v>
      </c>
      <c r="E224" s="1961" t="s">
        <v>275</v>
      </c>
      <c r="F224" s="1480"/>
      <c r="G224" s="1961" t="s">
        <v>1319</v>
      </c>
      <c r="H224" s="1962" t="s">
        <v>1320</v>
      </c>
      <c r="I224" s="1534"/>
      <c r="J224" s="1483"/>
      <c r="K224" s="1483"/>
      <c r="L224" s="1484">
        <f>L225+L228+L226+L227</f>
        <v>0</v>
      </c>
      <c r="M224" s="1485">
        <f>M225+M228+M226+M227</f>
        <v>0</v>
      </c>
      <c r="N224" s="1485">
        <f>N225+N228</f>
        <v>0</v>
      </c>
      <c r="O224" s="1485">
        <f>O225+O228</f>
        <v>0</v>
      </c>
    </row>
    <row r="225" spans="1:15" s="1547" customFormat="1" ht="41.4" hidden="1" x14ac:dyDescent="0.25">
      <c r="A225" s="1545"/>
      <c r="B225" s="1480"/>
      <c r="C225" s="1480"/>
      <c r="D225" s="1960"/>
      <c r="E225" s="1961"/>
      <c r="F225" s="1480"/>
      <c r="G225" s="1961"/>
      <c r="H225" s="1962"/>
      <c r="I225" s="1534"/>
      <c r="J225" s="1483" t="s">
        <v>1800</v>
      </c>
      <c r="K225" s="1492" t="s">
        <v>1801</v>
      </c>
      <c r="L225" s="1484">
        <f t="shared" ref="L225:L243" si="7">M225+N225</f>
        <v>0</v>
      </c>
      <c r="M225" s="1485">
        <f>дод.3!E432</f>
        <v>0</v>
      </c>
      <c r="N225" s="1485"/>
      <c r="O225" s="1485"/>
    </row>
    <row r="226" spans="1:15" s="1547" customFormat="1" ht="27.6" hidden="1" x14ac:dyDescent="0.25">
      <c r="A226" s="1545"/>
      <c r="B226" s="1480"/>
      <c r="C226" s="1480"/>
      <c r="D226" s="1960"/>
      <c r="E226" s="1961"/>
      <c r="F226" s="1480"/>
      <c r="G226" s="1961"/>
      <c r="H226" s="1962"/>
      <c r="I226" s="1534"/>
      <c r="J226" s="1483" t="s">
        <v>1802</v>
      </c>
      <c r="K226" s="1492" t="s">
        <v>1803</v>
      </c>
      <c r="L226" s="1484">
        <f t="shared" si="7"/>
        <v>0</v>
      </c>
      <c r="M226" s="1485">
        <f>дод.3!E433</f>
        <v>0</v>
      </c>
      <c r="N226" s="1485"/>
      <c r="O226" s="1485"/>
    </row>
    <row r="227" spans="1:15" s="1547" customFormat="1" ht="41.4" hidden="1" x14ac:dyDescent="0.25">
      <c r="A227" s="1545"/>
      <c r="B227" s="1480"/>
      <c r="C227" s="1480"/>
      <c r="D227" s="1960"/>
      <c r="E227" s="1961"/>
      <c r="F227" s="1480"/>
      <c r="G227" s="1961"/>
      <c r="H227" s="1962"/>
      <c r="I227" s="1534"/>
      <c r="J227" s="1483" t="s">
        <v>1400</v>
      </c>
      <c r="K227" s="1492" t="s">
        <v>1804</v>
      </c>
      <c r="L227" s="1484">
        <f t="shared" si="7"/>
        <v>0</v>
      </c>
      <c r="M227" s="1485">
        <f>дод.3!E434</f>
        <v>0</v>
      </c>
      <c r="N227" s="1485"/>
      <c r="O227" s="1485"/>
    </row>
    <row r="228" spans="1:15" s="1547" customFormat="1" ht="41.4" hidden="1" x14ac:dyDescent="0.25">
      <c r="A228" s="1545"/>
      <c r="B228" s="1480"/>
      <c r="C228" s="1480"/>
      <c r="D228" s="1960"/>
      <c r="E228" s="1961"/>
      <c r="F228" s="1480"/>
      <c r="G228" s="1961"/>
      <c r="H228" s="1962"/>
      <c r="I228" s="1534"/>
      <c r="J228" s="1483" t="s">
        <v>1401</v>
      </c>
      <c r="K228" s="1492" t="s">
        <v>1805</v>
      </c>
      <c r="L228" s="1484">
        <f t="shared" si="7"/>
        <v>0</v>
      </c>
      <c r="M228" s="1485">
        <f>дод.3!E435</f>
        <v>0</v>
      </c>
      <c r="N228" s="1485"/>
      <c r="O228" s="1485"/>
    </row>
    <row r="229" spans="1:15" s="1547" customFormat="1" ht="41.4" hidden="1" x14ac:dyDescent="0.25">
      <c r="A229" s="1545"/>
      <c r="B229" s="1480"/>
      <c r="C229" s="1480"/>
      <c r="D229" s="1480" t="s">
        <v>1402</v>
      </c>
      <c r="E229" s="1481" t="s">
        <v>428</v>
      </c>
      <c r="F229" s="1480"/>
      <c r="G229" s="1481" t="s">
        <v>1023</v>
      </c>
      <c r="H229" s="1431" t="s">
        <v>427</v>
      </c>
      <c r="I229" s="1534"/>
      <c r="J229" s="1483" t="s">
        <v>1806</v>
      </c>
      <c r="K229" s="1492" t="s">
        <v>1805</v>
      </c>
      <c r="L229" s="1484">
        <f>M229+N229</f>
        <v>0</v>
      </c>
      <c r="M229" s="1485"/>
      <c r="N229" s="1485"/>
      <c r="O229" s="1485">
        <f>N229</f>
        <v>0</v>
      </c>
    </row>
    <row r="230" spans="1:15" s="1547" customFormat="1" ht="45.6" customHeight="1" x14ac:dyDescent="0.25">
      <c r="A230" s="1545"/>
      <c r="B230" s="1480"/>
      <c r="C230" s="1480"/>
      <c r="D230" s="1480" t="s">
        <v>1403</v>
      </c>
      <c r="E230" s="1481" t="s">
        <v>462</v>
      </c>
      <c r="F230" s="1480"/>
      <c r="G230" s="1481" t="s">
        <v>1038</v>
      </c>
      <c r="H230" s="1486" t="s">
        <v>461</v>
      </c>
      <c r="I230" s="1534"/>
      <c r="J230" s="1483" t="s">
        <v>1807</v>
      </c>
      <c r="K230" s="1492" t="s">
        <v>1801</v>
      </c>
      <c r="L230" s="1484">
        <f t="shared" si="7"/>
        <v>397707</v>
      </c>
      <c r="M230" s="1485">
        <f>дод.3!E438</f>
        <v>397707</v>
      </c>
      <c r="N230" s="1485"/>
      <c r="O230" s="1485"/>
    </row>
    <row r="231" spans="1:15" s="1547" customFormat="1" ht="41.4" hidden="1" x14ac:dyDescent="0.25">
      <c r="A231" s="1545"/>
      <c r="B231" s="1480"/>
      <c r="C231" s="1480"/>
      <c r="D231" s="1480" t="s">
        <v>1404</v>
      </c>
      <c r="E231" s="1481" t="s">
        <v>476</v>
      </c>
      <c r="F231" s="1480"/>
      <c r="G231" s="1481" t="s">
        <v>1288</v>
      </c>
      <c r="H231" s="1486" t="s">
        <v>475</v>
      </c>
      <c r="I231" s="1534"/>
      <c r="J231" s="1553" t="s">
        <v>1808</v>
      </c>
      <c r="K231" s="1492" t="s">
        <v>1809</v>
      </c>
      <c r="L231" s="1484">
        <f t="shared" si="7"/>
        <v>0</v>
      </c>
      <c r="M231" s="1485">
        <f>дод.3!E439</f>
        <v>0</v>
      </c>
      <c r="N231" s="1485"/>
      <c r="O231" s="1485"/>
    </row>
    <row r="232" spans="1:15" s="1547" customFormat="1" ht="41.4" hidden="1" x14ac:dyDescent="0.25">
      <c r="A232" s="1545"/>
      <c r="B232" s="1480"/>
      <c r="C232" s="1480"/>
      <c r="D232" s="1480" t="s">
        <v>1406</v>
      </c>
      <c r="E232" s="1481" t="s">
        <v>1810</v>
      </c>
      <c r="F232" s="1480"/>
      <c r="G232" s="1481" t="s">
        <v>1288</v>
      </c>
      <c r="H232" s="1486" t="s">
        <v>1392</v>
      </c>
      <c r="I232" s="1534"/>
      <c r="J232" s="1483" t="s">
        <v>1811</v>
      </c>
      <c r="K232" s="1492" t="s">
        <v>1812</v>
      </c>
      <c r="L232" s="1484">
        <f t="shared" si="7"/>
        <v>0</v>
      </c>
      <c r="M232" s="1485">
        <f>дод.3!E442</f>
        <v>0</v>
      </c>
      <c r="N232" s="1485"/>
      <c r="O232" s="1485"/>
    </row>
    <row r="233" spans="1:15" s="1547" customFormat="1" ht="41.4" hidden="1" x14ac:dyDescent="0.25">
      <c r="A233" s="1545"/>
      <c r="B233" s="1480"/>
      <c r="C233" s="1480"/>
      <c r="D233" s="1480" t="s">
        <v>1407</v>
      </c>
      <c r="E233" s="1481" t="s">
        <v>496</v>
      </c>
      <c r="F233" s="1480"/>
      <c r="G233" s="1481" t="s">
        <v>1053</v>
      </c>
      <c r="H233" s="1431" t="s">
        <v>1054</v>
      </c>
      <c r="I233" s="1534"/>
      <c r="J233" s="1553" t="s">
        <v>1813</v>
      </c>
      <c r="K233" s="1492" t="s">
        <v>1814</v>
      </c>
      <c r="L233" s="1484">
        <f t="shared" si="7"/>
        <v>0</v>
      </c>
      <c r="M233" s="1485">
        <f>дод.3!E443</f>
        <v>0</v>
      </c>
      <c r="N233" s="1485"/>
      <c r="O233" s="1485"/>
    </row>
    <row r="234" spans="1:15" ht="13.8" x14ac:dyDescent="0.25">
      <c r="A234" s="1466"/>
      <c r="B234" s="1470" t="s">
        <v>1815</v>
      </c>
      <c r="C234" s="1470"/>
      <c r="D234" s="1475" t="s">
        <v>1410</v>
      </c>
      <c r="E234" s="1476"/>
      <c r="F234" s="1475"/>
      <c r="G234" s="1475"/>
      <c r="H234" s="1477" t="s">
        <v>1411</v>
      </c>
      <c r="I234" s="1477" t="s">
        <v>1816</v>
      </c>
      <c r="J234" s="1546"/>
      <c r="K234" s="1478"/>
      <c r="L234" s="1479">
        <f t="shared" si="7"/>
        <v>33793456</v>
      </c>
      <c r="M234" s="1479">
        <f>M235</f>
        <v>33793456</v>
      </c>
      <c r="N234" s="1479">
        <f>N235</f>
        <v>0</v>
      </c>
      <c r="O234" s="1479">
        <f>O235</f>
        <v>0</v>
      </c>
    </row>
    <row r="235" spans="1:15" ht="13.8" x14ac:dyDescent="0.25">
      <c r="A235" s="1466"/>
      <c r="B235" s="1470" t="s">
        <v>1815</v>
      </c>
      <c r="C235" s="1470"/>
      <c r="D235" s="1480" t="s">
        <v>1412</v>
      </c>
      <c r="E235" s="1481"/>
      <c r="F235" s="1480"/>
      <c r="G235" s="1480"/>
      <c r="H235" s="1482" t="s">
        <v>1411</v>
      </c>
      <c r="I235" s="1482" t="s">
        <v>1816</v>
      </c>
      <c r="J235" s="1483"/>
      <c r="K235" s="1483"/>
      <c r="L235" s="1484">
        <f>M235+N235</f>
        <v>33793456</v>
      </c>
      <c r="M235" s="1484">
        <f>SUM(M236:M244)</f>
        <v>33793456</v>
      </c>
      <c r="N235" s="1484">
        <f>SUM(N236:N244)</f>
        <v>0</v>
      </c>
      <c r="O235" s="1484">
        <f>SUM(O236:O244)</f>
        <v>0</v>
      </c>
    </row>
    <row r="236" spans="1:15" ht="49.2" customHeight="1" x14ac:dyDescent="0.25">
      <c r="A236" s="1466"/>
      <c r="B236" s="1470"/>
      <c r="C236" s="1470"/>
      <c r="D236" s="1945" t="s">
        <v>1413</v>
      </c>
      <c r="E236" s="1949" t="s">
        <v>273</v>
      </c>
      <c r="F236" s="1481" t="s">
        <v>1817</v>
      </c>
      <c r="G236" s="1949" t="s">
        <v>885</v>
      </c>
      <c r="H236" s="1951" t="s">
        <v>886</v>
      </c>
      <c r="I236" s="1486" t="s">
        <v>328</v>
      </c>
      <c r="J236" s="1517" t="s">
        <v>1818</v>
      </c>
      <c r="K236" s="1492" t="s">
        <v>1819</v>
      </c>
      <c r="L236" s="1484">
        <f t="shared" si="7"/>
        <v>30235231</v>
      </c>
      <c r="M236" s="1485">
        <f>дод.3!E449</f>
        <v>30235231</v>
      </c>
      <c r="N236" s="1485">
        <f>дод.3!N449</f>
        <v>0</v>
      </c>
      <c r="O236" s="1485">
        <f>N236</f>
        <v>0</v>
      </c>
    </row>
    <row r="237" spans="1:15" ht="41.4" hidden="1" x14ac:dyDescent="0.25">
      <c r="A237" s="1466"/>
      <c r="B237" s="1470"/>
      <c r="C237" s="1470"/>
      <c r="D237" s="1953"/>
      <c r="E237" s="1955"/>
      <c r="F237" s="1481"/>
      <c r="G237" s="1955"/>
      <c r="H237" s="1956"/>
      <c r="I237" s="1486"/>
      <c r="J237" s="1490" t="s">
        <v>1596</v>
      </c>
      <c r="K237" s="1488" t="s">
        <v>1597</v>
      </c>
      <c r="L237" s="1484">
        <f t="shared" si="7"/>
        <v>0</v>
      </c>
      <c r="M237" s="1485">
        <f>дод.3!E450</f>
        <v>0</v>
      </c>
      <c r="N237" s="1485">
        <f>дод.3!M448-дод.3!M449</f>
        <v>0</v>
      </c>
      <c r="O237" s="1485">
        <f>N237</f>
        <v>0</v>
      </c>
    </row>
    <row r="238" spans="1:15" ht="41.4" hidden="1" x14ac:dyDescent="0.25">
      <c r="A238" s="1466"/>
      <c r="B238" s="1470"/>
      <c r="C238" s="1470"/>
      <c r="D238" s="1511" t="s">
        <v>1416</v>
      </c>
      <c r="E238" s="1513" t="s">
        <v>428</v>
      </c>
      <c r="F238" s="1481"/>
      <c r="G238" s="1513" t="s">
        <v>1023</v>
      </c>
      <c r="H238" s="1551" t="s">
        <v>427</v>
      </c>
      <c r="I238" s="1486"/>
      <c r="J238" s="1490" t="s">
        <v>1596</v>
      </c>
      <c r="K238" s="1488" t="s">
        <v>1597</v>
      </c>
      <c r="L238" s="1484">
        <f>N238</f>
        <v>0</v>
      </c>
      <c r="M238" s="1485"/>
      <c r="N238" s="1485">
        <f>дод.3!M452</f>
        <v>0</v>
      </c>
      <c r="O238" s="1485">
        <f>N238</f>
        <v>0</v>
      </c>
    </row>
    <row r="239" spans="1:15" ht="41.4" hidden="1" x14ac:dyDescent="0.25">
      <c r="A239" s="1466"/>
      <c r="B239" s="1470"/>
      <c r="C239" s="1470"/>
      <c r="D239" s="1511" t="s">
        <v>1417</v>
      </c>
      <c r="E239" s="1513" t="s">
        <v>419</v>
      </c>
      <c r="F239" s="1481"/>
      <c r="G239" s="1513" t="s">
        <v>1038</v>
      </c>
      <c r="H239" s="1551" t="s">
        <v>418</v>
      </c>
      <c r="I239" s="1486"/>
      <c r="J239" s="1490" t="s">
        <v>1596</v>
      </c>
      <c r="K239" s="1488" t="s">
        <v>1597</v>
      </c>
      <c r="L239" s="1484">
        <f>N239</f>
        <v>0</v>
      </c>
      <c r="M239" s="1485"/>
      <c r="N239" s="1485"/>
      <c r="O239" s="1485">
        <f>N239</f>
        <v>0</v>
      </c>
    </row>
    <row r="240" spans="1:15" ht="50.4" hidden="1" customHeight="1" x14ac:dyDescent="0.25">
      <c r="A240" s="1466"/>
      <c r="B240" s="1470"/>
      <c r="C240" s="1470"/>
      <c r="D240" s="1480" t="s">
        <v>1418</v>
      </c>
      <c r="E240" s="1481" t="s">
        <v>446</v>
      </c>
      <c r="F240" s="1480"/>
      <c r="G240" s="1481" t="s">
        <v>1046</v>
      </c>
      <c r="H240" s="1431" t="s">
        <v>1047</v>
      </c>
      <c r="I240" s="1486"/>
      <c r="J240" s="1517" t="s">
        <v>1651</v>
      </c>
      <c r="K240" s="1506" t="s">
        <v>1652</v>
      </c>
      <c r="L240" s="1484">
        <f t="shared" si="7"/>
        <v>0</v>
      </c>
      <c r="M240" s="1485">
        <f>дод.3!E454</f>
        <v>0</v>
      </c>
      <c r="N240" s="1485"/>
      <c r="O240" s="1485"/>
    </row>
    <row r="241" spans="1:15" ht="54" customHeight="1" x14ac:dyDescent="0.25">
      <c r="A241" s="1466"/>
      <c r="B241" s="1470"/>
      <c r="C241" s="1470"/>
      <c r="D241" s="1480" t="s">
        <v>1419</v>
      </c>
      <c r="E241" s="1481" t="s">
        <v>450</v>
      </c>
      <c r="F241" s="1481"/>
      <c r="G241" s="1481" t="s">
        <v>1420</v>
      </c>
      <c r="H241" s="1486" t="s">
        <v>449</v>
      </c>
      <c r="I241" s="1486"/>
      <c r="J241" s="1517" t="s">
        <v>1820</v>
      </c>
      <c r="K241" s="1495" t="s">
        <v>1821</v>
      </c>
      <c r="L241" s="1484">
        <f t="shared" si="7"/>
        <v>3370000</v>
      </c>
      <c r="M241" s="1485">
        <f>дод.3!E455</f>
        <v>3370000</v>
      </c>
      <c r="N241" s="1485">
        <f>дод.3!M455</f>
        <v>0</v>
      </c>
      <c r="O241" s="1485">
        <f>N241</f>
        <v>0</v>
      </c>
    </row>
    <row r="242" spans="1:15" ht="47.7" customHeight="1" x14ac:dyDescent="0.25">
      <c r="A242" s="1466"/>
      <c r="B242" s="1470"/>
      <c r="C242" s="1470"/>
      <c r="D242" s="1480" t="s">
        <v>1422</v>
      </c>
      <c r="E242" s="1481" t="s">
        <v>454</v>
      </c>
      <c r="F242" s="1481"/>
      <c r="G242" s="1481" t="s">
        <v>1044</v>
      </c>
      <c r="H242" s="1486" t="s">
        <v>453</v>
      </c>
      <c r="I242" s="1486" t="s">
        <v>1822</v>
      </c>
      <c r="J242" s="1486" t="s">
        <v>1823</v>
      </c>
      <c r="K242" s="1495" t="s">
        <v>1824</v>
      </c>
      <c r="L242" s="1484">
        <f t="shared" si="7"/>
        <v>188225</v>
      </c>
      <c r="M242" s="1485">
        <f>дод.3!E458</f>
        <v>188225</v>
      </c>
      <c r="N242" s="1484"/>
      <c r="O242" s="1485"/>
    </row>
    <row r="243" spans="1:15" ht="41.4" hidden="1" x14ac:dyDescent="0.25">
      <c r="A243" s="1466"/>
      <c r="B243" s="1470"/>
      <c r="C243" s="1470"/>
      <c r="D243" s="1480" t="s">
        <v>1427</v>
      </c>
      <c r="E243" s="1481" t="s">
        <v>1428</v>
      </c>
      <c r="F243" s="1481"/>
      <c r="G243" s="1481" t="s">
        <v>1038</v>
      </c>
      <c r="H243" s="1486" t="s">
        <v>1429</v>
      </c>
      <c r="I243" s="1486"/>
      <c r="J243" s="1517" t="s">
        <v>1825</v>
      </c>
      <c r="K243" s="1495" t="s">
        <v>1826</v>
      </c>
      <c r="L243" s="1484">
        <f t="shared" si="7"/>
        <v>0</v>
      </c>
      <c r="M243" s="1485">
        <f>дод.3!E463</f>
        <v>0</v>
      </c>
      <c r="N243" s="1484"/>
      <c r="O243" s="1485"/>
    </row>
    <row r="244" spans="1:15" ht="13.8" hidden="1" x14ac:dyDescent="0.25">
      <c r="A244" s="1466"/>
      <c r="B244" s="1470"/>
      <c r="C244" s="1470"/>
      <c r="D244" s="1945" t="s">
        <v>1424</v>
      </c>
      <c r="E244" s="1949" t="s">
        <v>460</v>
      </c>
      <c r="F244" s="1481"/>
      <c r="G244" s="1949" t="s">
        <v>1038</v>
      </c>
      <c r="H244" s="1951" t="s">
        <v>1049</v>
      </c>
      <c r="I244" s="1486"/>
      <c r="J244" s="1486"/>
      <c r="K244" s="1495"/>
      <c r="L244" s="1484">
        <f>L245+L247+L246</f>
        <v>0</v>
      </c>
      <c r="M244" s="1485">
        <f>M245+M247+M246</f>
        <v>0</v>
      </c>
      <c r="N244" s="1485">
        <f>N245+N247+N246</f>
        <v>0</v>
      </c>
      <c r="O244" s="1485">
        <f>O245+O247+O246</f>
        <v>0</v>
      </c>
    </row>
    <row r="245" spans="1:15" ht="41.4" hidden="1" x14ac:dyDescent="0.25">
      <c r="A245" s="1466"/>
      <c r="B245" s="1470"/>
      <c r="C245" s="1470"/>
      <c r="D245" s="1946"/>
      <c r="E245" s="1950"/>
      <c r="F245" s="1481"/>
      <c r="G245" s="1950"/>
      <c r="H245" s="1952"/>
      <c r="I245" s="1486"/>
      <c r="J245" s="1490" t="s">
        <v>1596</v>
      </c>
      <c r="K245" s="1488" t="s">
        <v>1597</v>
      </c>
      <c r="L245" s="1484">
        <f>M245+N245</f>
        <v>0</v>
      </c>
      <c r="M245" s="1485"/>
      <c r="N245" s="1554"/>
      <c r="O245" s="1485">
        <f>N245</f>
        <v>0</v>
      </c>
    </row>
    <row r="246" spans="1:15" ht="41.4" hidden="1" x14ac:dyDescent="0.25">
      <c r="A246" s="1466"/>
      <c r="B246" s="1470"/>
      <c r="C246" s="1470"/>
      <c r="D246" s="1946"/>
      <c r="E246" s="1950"/>
      <c r="F246" s="1481"/>
      <c r="G246" s="1950"/>
      <c r="H246" s="1952"/>
      <c r="I246" s="1486"/>
      <c r="J246" s="1517" t="s">
        <v>1651</v>
      </c>
      <c r="K246" s="1506" t="s">
        <v>1652</v>
      </c>
      <c r="L246" s="1484">
        <f>M246+N246</f>
        <v>0</v>
      </c>
      <c r="M246" s="1485"/>
      <c r="N246" s="1554"/>
      <c r="O246" s="1554"/>
    </row>
    <row r="247" spans="1:15" ht="55.2" hidden="1" x14ac:dyDescent="0.25">
      <c r="A247" s="1466"/>
      <c r="B247" s="1470"/>
      <c r="C247" s="1470"/>
      <c r="D247" s="1953"/>
      <c r="E247" s="1955"/>
      <c r="F247" s="1481"/>
      <c r="G247" s="1955"/>
      <c r="H247" s="1956"/>
      <c r="I247" s="1486"/>
      <c r="J247" s="1517" t="s">
        <v>1827</v>
      </c>
      <c r="K247" s="1495" t="s">
        <v>1828</v>
      </c>
      <c r="L247" s="1484">
        <f>M247+N247</f>
        <v>0</v>
      </c>
      <c r="M247" s="1485"/>
      <c r="N247" s="1485"/>
      <c r="O247" s="1485">
        <f>N247</f>
        <v>0</v>
      </c>
    </row>
    <row r="248" spans="1:15" ht="13.8" x14ac:dyDescent="0.25">
      <c r="A248" s="1466"/>
      <c r="B248" s="1470" t="s">
        <v>1815</v>
      </c>
      <c r="C248" s="1470"/>
      <c r="D248" s="1475" t="s">
        <v>1432</v>
      </c>
      <c r="E248" s="1476"/>
      <c r="F248" s="1475"/>
      <c r="G248" s="1475"/>
      <c r="H248" s="1477" t="s">
        <v>1433</v>
      </c>
      <c r="I248" s="1477" t="s">
        <v>1816</v>
      </c>
      <c r="J248" s="1546"/>
      <c r="K248" s="1478"/>
      <c r="L248" s="1479">
        <f>L249</f>
        <v>313167046</v>
      </c>
      <c r="M248" s="1479">
        <f>M249</f>
        <v>313167046</v>
      </c>
      <c r="N248" s="1479">
        <f>N249</f>
        <v>0</v>
      </c>
      <c r="O248" s="1479">
        <f>O249</f>
        <v>0</v>
      </c>
    </row>
    <row r="249" spans="1:15" ht="13.8" x14ac:dyDescent="0.25">
      <c r="A249" s="1466"/>
      <c r="B249" s="1470" t="s">
        <v>1585</v>
      </c>
      <c r="C249" s="1470"/>
      <c r="D249" s="1480" t="s">
        <v>1434</v>
      </c>
      <c r="E249" s="1481"/>
      <c r="F249" s="1481"/>
      <c r="G249" s="1481"/>
      <c r="H249" s="1482" t="s">
        <v>1433</v>
      </c>
      <c r="I249" s="1482" t="s">
        <v>1586</v>
      </c>
      <c r="J249" s="1483"/>
      <c r="K249" s="1483"/>
      <c r="L249" s="1484">
        <f>L259+L252+L255+L267+L250+L251+L254+L253</f>
        <v>313167046</v>
      </c>
      <c r="M249" s="1484">
        <f>M259+M252+M255+M267+M250+M254+M253</f>
        <v>313167046</v>
      </c>
      <c r="N249" s="1484">
        <f>N259+N252+N255+N267+N250+N251+N254</f>
        <v>0</v>
      </c>
      <c r="O249" s="1484">
        <f>O259+O252+O255+O267+O250+O251+O254</f>
        <v>0</v>
      </c>
    </row>
    <row r="250" spans="1:15" ht="41.4" x14ac:dyDescent="0.25">
      <c r="A250" s="1466"/>
      <c r="B250" s="1470"/>
      <c r="C250" s="1470"/>
      <c r="D250" s="1480" t="s">
        <v>1437</v>
      </c>
      <c r="E250" s="1481" t="s">
        <v>470</v>
      </c>
      <c r="F250" s="1481"/>
      <c r="G250" s="1481" t="s">
        <v>1109</v>
      </c>
      <c r="H250" s="1525" t="s">
        <v>469</v>
      </c>
      <c r="I250" s="1525"/>
      <c r="J250" s="1483" t="s">
        <v>1745</v>
      </c>
      <c r="K250" s="1492" t="s">
        <v>1829</v>
      </c>
      <c r="L250" s="1529">
        <f>M250+N250</f>
        <v>4600000</v>
      </c>
      <c r="M250" s="1485">
        <f>дод.3!E469</f>
        <v>4600000</v>
      </c>
      <c r="N250" s="1485">
        <f>дод.3!M469</f>
        <v>0</v>
      </c>
      <c r="O250" s="1485">
        <f>N250</f>
        <v>0</v>
      </c>
    </row>
    <row r="251" spans="1:15" ht="51" hidden="1" customHeight="1" x14ac:dyDescent="0.25">
      <c r="A251" s="1466"/>
      <c r="B251" s="1470"/>
      <c r="C251" s="1470"/>
      <c r="D251" s="1480" t="s">
        <v>1436</v>
      </c>
      <c r="E251" s="1481" t="s">
        <v>428</v>
      </c>
      <c r="F251" s="1481"/>
      <c r="G251" s="1481" t="s">
        <v>1023</v>
      </c>
      <c r="H251" s="1525" t="s">
        <v>427</v>
      </c>
      <c r="I251" s="1525"/>
      <c r="J251" s="1517" t="s">
        <v>1830</v>
      </c>
      <c r="K251" s="1506" t="s">
        <v>1831</v>
      </c>
      <c r="L251" s="1529">
        <f>M251+N251</f>
        <v>0</v>
      </c>
      <c r="M251" s="1485"/>
      <c r="N251" s="1485"/>
      <c r="O251" s="1484">
        <f>N251</f>
        <v>0</v>
      </c>
    </row>
    <row r="252" spans="1:15" ht="62.4" customHeight="1" x14ac:dyDescent="0.25">
      <c r="A252" s="1466"/>
      <c r="B252" s="1470"/>
      <c r="C252" s="1470"/>
      <c r="D252" s="1480" t="s">
        <v>1438</v>
      </c>
      <c r="E252" s="1492">
        <v>8120</v>
      </c>
      <c r="F252" s="1481" t="s">
        <v>1832</v>
      </c>
      <c r="G252" s="1481" t="s">
        <v>1109</v>
      </c>
      <c r="H252" s="1493" t="s">
        <v>471</v>
      </c>
      <c r="I252" s="1499" t="s">
        <v>1833</v>
      </c>
      <c r="J252" s="1517" t="s">
        <v>1834</v>
      </c>
      <c r="K252" s="1506" t="s">
        <v>1835</v>
      </c>
      <c r="L252" s="1529">
        <f>M252+N252</f>
        <v>5004700</v>
      </c>
      <c r="M252" s="1504">
        <f>дод.3!E470</f>
        <v>5004700</v>
      </c>
      <c r="N252" s="1504"/>
      <c r="O252" s="1504"/>
    </row>
    <row r="253" spans="1:15" s="1547" customFormat="1" ht="53.4" customHeight="1" x14ac:dyDescent="0.25">
      <c r="A253" s="1545"/>
      <c r="B253" s="1480"/>
      <c r="C253" s="1480"/>
      <c r="D253" s="1480" t="s">
        <v>1439</v>
      </c>
      <c r="E253" s="1481" t="s">
        <v>476</v>
      </c>
      <c r="F253" s="1480"/>
      <c r="G253" s="1481" t="s">
        <v>1288</v>
      </c>
      <c r="H253" s="1486" t="s">
        <v>475</v>
      </c>
      <c r="I253" s="1534"/>
      <c r="J253" s="1483" t="s">
        <v>1677</v>
      </c>
      <c r="K253" s="1492" t="s">
        <v>1678</v>
      </c>
      <c r="L253" s="1484">
        <f>M253+N253</f>
        <v>3562346</v>
      </c>
      <c r="M253" s="1485">
        <f>дод.3!E471</f>
        <v>3562346</v>
      </c>
      <c r="N253" s="1485"/>
      <c r="O253" s="1485"/>
    </row>
    <row r="254" spans="1:15" ht="41.4" hidden="1" x14ac:dyDescent="0.25">
      <c r="A254" s="1466"/>
      <c r="B254" s="1470"/>
      <c r="C254" s="1470"/>
      <c r="D254" s="1539" t="s">
        <v>1440</v>
      </c>
      <c r="E254" s="1501">
        <v>8240</v>
      </c>
      <c r="F254" s="1481"/>
      <c r="G254" s="1540" t="s">
        <v>1288</v>
      </c>
      <c r="H254" s="1541" t="s">
        <v>477</v>
      </c>
      <c r="I254" s="1486"/>
      <c r="J254" s="1532" t="s">
        <v>1782</v>
      </c>
      <c r="K254" s="1492" t="s">
        <v>1783</v>
      </c>
      <c r="L254" s="1529">
        <f>M254+N254</f>
        <v>0</v>
      </c>
      <c r="M254" s="1504">
        <f>дод.3!E472</f>
        <v>0</v>
      </c>
      <c r="N254" s="1504">
        <f>дод.3!N472</f>
        <v>0</v>
      </c>
      <c r="O254" s="1504">
        <f>N254</f>
        <v>0</v>
      </c>
    </row>
    <row r="255" spans="1:15" ht="13.8" x14ac:dyDescent="0.25">
      <c r="A255" s="1466"/>
      <c r="B255" s="1470"/>
      <c r="C255" s="1470"/>
      <c r="D255" s="1945" t="s">
        <v>1441</v>
      </c>
      <c r="E255" s="1947">
        <v>9770</v>
      </c>
      <c r="F255" s="1481"/>
      <c r="G255" s="1949" t="s">
        <v>275</v>
      </c>
      <c r="H255" s="1957" t="s">
        <v>236</v>
      </c>
      <c r="I255" s="1499"/>
      <c r="J255" s="1517"/>
      <c r="K255" s="1506"/>
      <c r="L255" s="1529">
        <f>SUM(L256:L258)</f>
        <v>23787790</v>
      </c>
      <c r="M255" s="1504">
        <f>SUM(M256:M258)</f>
        <v>23787790</v>
      </c>
      <c r="N255" s="1504">
        <f>SUM(N256:N258)</f>
        <v>0</v>
      </c>
      <c r="O255" s="1504">
        <f>SUM(O256:O258)</f>
        <v>0</v>
      </c>
    </row>
    <row r="256" spans="1:15" ht="27.6" hidden="1" x14ac:dyDescent="0.25">
      <c r="A256" s="1466"/>
      <c r="B256" s="1470"/>
      <c r="C256" s="1470"/>
      <c r="D256" s="1946"/>
      <c r="E256" s="1948"/>
      <c r="F256" s="1481"/>
      <c r="G256" s="1950"/>
      <c r="H256" s="1958"/>
      <c r="I256" s="1486"/>
      <c r="J256" s="1499" t="s">
        <v>1740</v>
      </c>
      <c r="K256" s="1492" t="s">
        <v>1741</v>
      </c>
      <c r="L256" s="1529">
        <f t="shared" ref="L256:L266" si="8">M256+N256</f>
        <v>0</v>
      </c>
      <c r="M256" s="1504"/>
      <c r="N256" s="1504">
        <f>дод.3!M474</f>
        <v>0</v>
      </c>
      <c r="O256" s="1504">
        <f>N256</f>
        <v>0</v>
      </c>
    </row>
    <row r="257" spans="1:15" ht="27.6" x14ac:dyDescent="0.25">
      <c r="A257" s="1466"/>
      <c r="B257" s="1470"/>
      <c r="C257" s="1470"/>
      <c r="D257" s="1946"/>
      <c r="E257" s="1948"/>
      <c r="F257" s="1481"/>
      <c r="G257" s="1950"/>
      <c r="H257" s="1958"/>
      <c r="I257" s="1486"/>
      <c r="J257" s="1499" t="s">
        <v>1836</v>
      </c>
      <c r="K257" s="1492" t="s">
        <v>1837</v>
      </c>
      <c r="L257" s="1529">
        <f t="shared" si="8"/>
        <v>23787790</v>
      </c>
      <c r="M257" s="1504">
        <f>дод.3!E475</f>
        <v>23787790</v>
      </c>
      <c r="N257" s="1504">
        <f>дод.3!M475</f>
        <v>0</v>
      </c>
      <c r="O257" s="1504">
        <f>N257</f>
        <v>0</v>
      </c>
    </row>
    <row r="258" spans="1:15" ht="41.4" hidden="1" x14ac:dyDescent="0.25">
      <c r="A258" s="1466"/>
      <c r="B258" s="1470"/>
      <c r="C258" s="1470"/>
      <c r="D258" s="1953"/>
      <c r="E258" s="1954"/>
      <c r="F258" s="1481"/>
      <c r="G258" s="1955"/>
      <c r="H258" s="1959"/>
      <c r="I258" s="1486"/>
      <c r="J258" s="1499" t="s">
        <v>1749</v>
      </c>
      <c r="K258" s="1492" t="s">
        <v>1750</v>
      </c>
      <c r="L258" s="1529">
        <f t="shared" si="8"/>
        <v>0</v>
      </c>
      <c r="M258" s="1504"/>
      <c r="N258" s="1504">
        <f>дод.3!M477</f>
        <v>0</v>
      </c>
      <c r="O258" s="1504">
        <f>N258</f>
        <v>0</v>
      </c>
    </row>
    <row r="259" spans="1:15" ht="13.8" x14ac:dyDescent="0.25">
      <c r="A259" s="1466"/>
      <c r="B259" s="1470"/>
      <c r="C259" s="1470"/>
      <c r="D259" s="1945" t="s">
        <v>1444</v>
      </c>
      <c r="E259" s="1947">
        <v>9800</v>
      </c>
      <c r="F259" s="1481"/>
      <c r="G259" s="1949" t="s">
        <v>275</v>
      </c>
      <c r="H259" s="1951" t="s">
        <v>1300</v>
      </c>
      <c r="I259" s="1486"/>
      <c r="J259" s="1517"/>
      <c r="K259" s="1506"/>
      <c r="L259" s="1529">
        <f t="shared" si="8"/>
        <v>276212210</v>
      </c>
      <c r="M259" s="1504">
        <f>SUM(M260:M266)</f>
        <v>276212210</v>
      </c>
      <c r="N259" s="1504">
        <f>SUM(N260:N266)</f>
        <v>0</v>
      </c>
      <c r="O259" s="1504">
        <f>SUM(O260:O266)</f>
        <v>0</v>
      </c>
    </row>
    <row r="260" spans="1:15" ht="41.4" hidden="1" x14ac:dyDescent="0.25">
      <c r="A260" s="1466"/>
      <c r="B260" s="1470"/>
      <c r="C260" s="1470"/>
      <c r="D260" s="1946"/>
      <c r="E260" s="1948"/>
      <c r="F260" s="1481"/>
      <c r="G260" s="1950"/>
      <c r="H260" s="1952"/>
      <c r="I260" s="1486"/>
      <c r="J260" s="1532" t="s">
        <v>1782</v>
      </c>
      <c r="K260" s="1492" t="s">
        <v>1783</v>
      </c>
      <c r="L260" s="1529">
        <f t="shared" si="8"/>
        <v>0</v>
      </c>
      <c r="M260" s="1504">
        <f>дод.3!E483</f>
        <v>0</v>
      </c>
      <c r="N260" s="1504"/>
      <c r="O260" s="1504"/>
    </row>
    <row r="261" spans="1:15" ht="45" customHeight="1" x14ac:dyDescent="0.25">
      <c r="A261" s="1466"/>
      <c r="B261" s="1470"/>
      <c r="C261" s="1470"/>
      <c r="D261" s="1946"/>
      <c r="E261" s="1948"/>
      <c r="F261" s="1481"/>
      <c r="G261" s="1950"/>
      <c r="H261" s="1952"/>
      <c r="I261" s="1486"/>
      <c r="J261" s="1499" t="s">
        <v>1745</v>
      </c>
      <c r="K261" s="1492" t="s">
        <v>1829</v>
      </c>
      <c r="L261" s="1529">
        <f t="shared" si="8"/>
        <v>5305000</v>
      </c>
      <c r="M261" s="1504">
        <f>дод.3!E479</f>
        <v>5305000</v>
      </c>
      <c r="N261" s="1504">
        <f>дод.3!M479</f>
        <v>0</v>
      </c>
      <c r="O261" s="1504">
        <f>N261</f>
        <v>0</v>
      </c>
    </row>
    <row r="262" spans="1:15" ht="47.4" hidden="1" customHeight="1" x14ac:dyDescent="0.25">
      <c r="A262" s="1466"/>
      <c r="B262" s="1470"/>
      <c r="C262" s="1470"/>
      <c r="D262" s="1946"/>
      <c r="E262" s="1948"/>
      <c r="F262" s="1481"/>
      <c r="G262" s="1950"/>
      <c r="H262" s="1952"/>
      <c r="I262" s="1486"/>
      <c r="J262" s="1483" t="s">
        <v>1808</v>
      </c>
      <c r="K262" s="1492" t="s">
        <v>1809</v>
      </c>
      <c r="L262" s="1529">
        <f t="shared" si="8"/>
        <v>0</v>
      </c>
      <c r="M262" s="1504">
        <f>дод.3!E480</f>
        <v>0</v>
      </c>
      <c r="N262" s="1504"/>
      <c r="O262" s="1504"/>
    </row>
    <row r="263" spans="1:15" ht="51" customHeight="1" x14ac:dyDescent="0.25">
      <c r="A263" s="1466"/>
      <c r="B263" s="1470"/>
      <c r="C263" s="1470"/>
      <c r="D263" s="1946"/>
      <c r="E263" s="1948"/>
      <c r="F263" s="1481"/>
      <c r="G263" s="1950"/>
      <c r="H263" s="1952"/>
      <c r="I263" s="1486"/>
      <c r="J263" s="1499" t="s">
        <v>1836</v>
      </c>
      <c r="K263" s="1492" t="s">
        <v>1837</v>
      </c>
      <c r="L263" s="1529">
        <f t="shared" si="8"/>
        <v>268907210</v>
      </c>
      <c r="M263" s="1504">
        <f>дод.3!E481</f>
        <v>268907210</v>
      </c>
      <c r="N263" s="1504">
        <f>дод.3!M481</f>
        <v>0</v>
      </c>
      <c r="O263" s="1504">
        <f>N263</f>
        <v>0</v>
      </c>
    </row>
    <row r="264" spans="1:15" ht="41.4" x14ac:dyDescent="0.25">
      <c r="A264" s="1466"/>
      <c r="B264" s="1470"/>
      <c r="C264" s="1470"/>
      <c r="D264" s="1946"/>
      <c r="E264" s="1948"/>
      <c r="F264" s="1481"/>
      <c r="G264" s="1950"/>
      <c r="H264" s="1952"/>
      <c r="I264" s="1486"/>
      <c r="J264" s="1499" t="s">
        <v>1751</v>
      </c>
      <c r="K264" s="1492" t="s">
        <v>1752</v>
      </c>
      <c r="L264" s="1529">
        <f t="shared" si="8"/>
        <v>1000000</v>
      </c>
      <c r="M264" s="1504">
        <f>дод.3!E485</f>
        <v>1000000</v>
      </c>
      <c r="N264" s="1504">
        <f>дод.3!M485</f>
        <v>0</v>
      </c>
      <c r="O264" s="1504">
        <f>N264</f>
        <v>0</v>
      </c>
    </row>
    <row r="265" spans="1:15" ht="51" hidden="1" customHeight="1" x14ac:dyDescent="0.25">
      <c r="A265" s="1466"/>
      <c r="B265" s="1470"/>
      <c r="C265" s="1470"/>
      <c r="D265" s="1946"/>
      <c r="E265" s="1948"/>
      <c r="F265" s="1540"/>
      <c r="G265" s="1950"/>
      <c r="H265" s="1952"/>
      <c r="I265" s="1500"/>
      <c r="J265" s="1483" t="s">
        <v>1745</v>
      </c>
      <c r="K265" s="1492" t="s">
        <v>1829</v>
      </c>
      <c r="L265" s="1529">
        <f t="shared" si="8"/>
        <v>0</v>
      </c>
      <c r="M265" s="1555"/>
      <c r="N265" s="1555">
        <f>дод.3!N484</f>
        <v>0</v>
      </c>
      <c r="O265" s="1555">
        <f>N265</f>
        <v>0</v>
      </c>
    </row>
    <row r="266" spans="1:15" ht="41.4" x14ac:dyDescent="0.25">
      <c r="A266" s="1466"/>
      <c r="B266" s="1470"/>
      <c r="C266" s="1470"/>
      <c r="D266" s="1946"/>
      <c r="E266" s="1948"/>
      <c r="F266" s="1540"/>
      <c r="G266" s="1950"/>
      <c r="H266" s="1952"/>
      <c r="I266" s="1500"/>
      <c r="J266" s="1556" t="s">
        <v>1749</v>
      </c>
      <c r="K266" s="1501" t="s">
        <v>1750</v>
      </c>
      <c r="L266" s="1557">
        <f t="shared" si="8"/>
        <v>1000000</v>
      </c>
      <c r="M266" s="1555">
        <f>дод.3!E486</f>
        <v>1000000</v>
      </c>
      <c r="N266" s="1555">
        <f>дод.3!M486</f>
        <v>0</v>
      </c>
      <c r="O266" s="1555">
        <f>N266</f>
        <v>0</v>
      </c>
    </row>
    <row r="267" spans="1:15" ht="13.8" hidden="1" x14ac:dyDescent="0.25">
      <c r="A267" s="1466"/>
      <c r="B267" s="1470"/>
      <c r="C267" s="1470"/>
      <c r="D267" s="1945" t="s">
        <v>1450</v>
      </c>
      <c r="E267" s="1947">
        <v>9820</v>
      </c>
      <c r="F267" s="1481"/>
      <c r="G267" s="1949" t="s">
        <v>275</v>
      </c>
      <c r="H267" s="1951" t="s">
        <v>564</v>
      </c>
      <c r="I267" s="1486"/>
      <c r="J267" s="1517"/>
      <c r="K267" s="1506"/>
      <c r="L267" s="1529">
        <f>L270</f>
        <v>0</v>
      </c>
      <c r="M267" s="1504">
        <f>M270</f>
        <v>0</v>
      </c>
      <c r="N267" s="1504">
        <f>N270</f>
        <v>0</v>
      </c>
      <c r="O267" s="1504">
        <f>O270</f>
        <v>0</v>
      </c>
    </row>
    <row r="268" spans="1:15" ht="27.6" hidden="1" x14ac:dyDescent="0.25">
      <c r="A268" s="1466"/>
      <c r="B268" s="1470"/>
      <c r="C268" s="1470"/>
      <c r="D268" s="1946"/>
      <c r="E268" s="1948"/>
      <c r="F268" s="1481"/>
      <c r="G268" s="1950"/>
      <c r="H268" s="1952"/>
      <c r="I268" s="1486"/>
      <c r="J268" s="1499" t="s">
        <v>1740</v>
      </c>
      <c r="K268" s="1492" t="s">
        <v>1741</v>
      </c>
      <c r="L268" s="1529">
        <f>M268+N268</f>
        <v>0</v>
      </c>
      <c r="M268" s="1504">
        <f>дод.3!E489</f>
        <v>0</v>
      </c>
      <c r="N268" s="1504"/>
      <c r="O268" s="1504"/>
    </row>
    <row r="269" spans="1:15" ht="27.6" hidden="1" x14ac:dyDescent="0.25">
      <c r="A269" s="1466"/>
      <c r="B269" s="1470"/>
      <c r="C269" s="1470"/>
      <c r="D269" s="1946"/>
      <c r="E269" s="1948"/>
      <c r="F269" s="1481"/>
      <c r="G269" s="1950"/>
      <c r="H269" s="1952"/>
      <c r="I269" s="1486"/>
      <c r="J269" s="1499" t="s">
        <v>1745</v>
      </c>
      <c r="K269" s="1492" t="s">
        <v>1746</v>
      </c>
      <c r="L269" s="1529">
        <f>M269+N269</f>
        <v>0</v>
      </c>
      <c r="M269" s="1504"/>
      <c r="N269" s="1504"/>
      <c r="O269" s="1504"/>
    </row>
    <row r="270" spans="1:15" ht="41.4" hidden="1" x14ac:dyDescent="0.25">
      <c r="A270" s="1466"/>
      <c r="B270" s="1470"/>
      <c r="C270" s="1470"/>
      <c r="D270" s="1953"/>
      <c r="E270" s="1954"/>
      <c r="F270" s="1481"/>
      <c r="G270" s="1955"/>
      <c r="H270" s="1956"/>
      <c r="I270" s="1486"/>
      <c r="J270" s="1499" t="s">
        <v>1747</v>
      </c>
      <c r="K270" s="1492" t="s">
        <v>1748</v>
      </c>
      <c r="L270" s="1529">
        <f>M270+N270</f>
        <v>0</v>
      </c>
      <c r="M270" s="1504">
        <f>дод.3!E490</f>
        <v>0</v>
      </c>
      <c r="N270" s="1504">
        <f>дод.3!M490</f>
        <v>0</v>
      </c>
      <c r="O270" s="1504">
        <f>N270</f>
        <v>0</v>
      </c>
    </row>
    <row r="271" spans="1:15" ht="27.6" x14ac:dyDescent="0.25">
      <c r="A271" s="1466"/>
      <c r="B271" s="1470" t="s">
        <v>1585</v>
      </c>
      <c r="C271" s="1470"/>
      <c r="D271" s="1475" t="s">
        <v>1451</v>
      </c>
      <c r="E271" s="1476"/>
      <c r="F271" s="1476"/>
      <c r="G271" s="1476"/>
      <c r="H271" s="1477" t="s">
        <v>1452</v>
      </c>
      <c r="I271" s="1477" t="s">
        <v>1586</v>
      </c>
      <c r="J271" s="1478"/>
      <c r="K271" s="1478"/>
      <c r="L271" s="1479">
        <f>L272</f>
        <v>14901329</v>
      </c>
      <c r="M271" s="1479">
        <f>M272</f>
        <v>14901329</v>
      </c>
      <c r="N271" s="1479">
        <f>N272</f>
        <v>0</v>
      </c>
      <c r="O271" s="1479">
        <f>O272</f>
        <v>0</v>
      </c>
    </row>
    <row r="272" spans="1:15" ht="27.6" x14ac:dyDescent="0.25">
      <c r="A272" s="1466"/>
      <c r="B272" s="1470" t="s">
        <v>1585</v>
      </c>
      <c r="C272" s="1470"/>
      <c r="D272" s="1480" t="s">
        <v>1453</v>
      </c>
      <c r="E272" s="1481"/>
      <c r="F272" s="1481"/>
      <c r="G272" s="1481"/>
      <c r="H272" s="1482" t="s">
        <v>1452</v>
      </c>
      <c r="I272" s="1482" t="s">
        <v>1586</v>
      </c>
      <c r="J272" s="1483"/>
      <c r="K272" s="1483"/>
      <c r="L272" s="1484">
        <f>M272</f>
        <v>14901329</v>
      </c>
      <c r="M272" s="1484">
        <f>M273+M274</f>
        <v>14901329</v>
      </c>
      <c r="N272" s="1484">
        <f>N276</f>
        <v>0</v>
      </c>
      <c r="O272" s="1484">
        <f>O276</f>
        <v>0</v>
      </c>
    </row>
    <row r="273" spans="1:30" ht="27.6" hidden="1" x14ac:dyDescent="0.25">
      <c r="A273" s="1466"/>
      <c r="B273" s="1470"/>
      <c r="C273" s="1470"/>
      <c r="D273" s="1474" t="s">
        <v>1454</v>
      </c>
      <c r="E273" s="1481" t="s">
        <v>273</v>
      </c>
      <c r="F273" s="1481"/>
      <c r="G273" s="1481" t="s">
        <v>885</v>
      </c>
      <c r="H273" s="1525" t="s">
        <v>886</v>
      </c>
      <c r="I273" s="1482"/>
      <c r="J273" s="1483" t="s">
        <v>1838</v>
      </c>
      <c r="K273" s="1483" t="s">
        <v>1839</v>
      </c>
      <c r="L273" s="1484">
        <f t="shared" ref="L273:L283" si="9">M273+N273</f>
        <v>0</v>
      </c>
      <c r="M273" s="1485">
        <f>дод.3!E494</f>
        <v>0</v>
      </c>
      <c r="N273" s="1484"/>
      <c r="O273" s="1484"/>
    </row>
    <row r="274" spans="1:30" ht="13.8" x14ac:dyDescent="0.25">
      <c r="A274" s="1466"/>
      <c r="B274" s="1470"/>
      <c r="C274" s="1470"/>
      <c r="D274" s="1934" t="s">
        <v>1456</v>
      </c>
      <c r="E274" s="1937" t="s">
        <v>275</v>
      </c>
      <c r="F274" s="1481"/>
      <c r="G274" s="1937" t="s">
        <v>1319</v>
      </c>
      <c r="H274" s="1940" t="s">
        <v>1320</v>
      </c>
      <c r="I274" s="1482"/>
      <c r="J274" s="1483"/>
      <c r="K274" s="1483"/>
      <c r="L274" s="1484">
        <f>M274</f>
        <v>14901329</v>
      </c>
      <c r="M274" s="1485">
        <f>M275+M276</f>
        <v>14901329</v>
      </c>
      <c r="N274" s="1484"/>
      <c r="O274" s="1484"/>
    </row>
    <row r="275" spans="1:30" ht="27.6" x14ac:dyDescent="0.25">
      <c r="A275" s="1466"/>
      <c r="B275" s="1470"/>
      <c r="C275" s="1470"/>
      <c r="D275" s="1935"/>
      <c r="E275" s="1938"/>
      <c r="F275" s="1481"/>
      <c r="G275" s="1938"/>
      <c r="H275" s="1941"/>
      <c r="I275" s="1482"/>
      <c r="J275" s="1483" t="s">
        <v>1838</v>
      </c>
      <c r="K275" s="1483" t="s">
        <v>1839</v>
      </c>
      <c r="L275" s="1484">
        <f>M275</f>
        <v>630000</v>
      </c>
      <c r="M275" s="1485">
        <f>дод.3!E496</f>
        <v>630000</v>
      </c>
      <c r="N275" s="1484"/>
      <c r="O275" s="1484"/>
    </row>
    <row r="276" spans="1:30" s="1352" customFormat="1" ht="56.4" customHeight="1" x14ac:dyDescent="0.25">
      <c r="A276" s="1471"/>
      <c r="B276" s="1492"/>
      <c r="C276" s="1492"/>
      <c r="D276" s="1936"/>
      <c r="E276" s="1939"/>
      <c r="F276" s="1481"/>
      <c r="G276" s="1939"/>
      <c r="H276" s="1942"/>
      <c r="I276" s="1525"/>
      <c r="J276" s="1483" t="s">
        <v>1840</v>
      </c>
      <c r="K276" s="1492" t="s">
        <v>1841</v>
      </c>
      <c r="L276" s="1484">
        <f t="shared" si="9"/>
        <v>14271329</v>
      </c>
      <c r="M276" s="1485">
        <f>дод.3!E497</f>
        <v>14271329</v>
      </c>
      <c r="N276" s="1485"/>
      <c r="O276" s="1485"/>
    </row>
    <row r="277" spans="1:30" ht="13.8" x14ac:dyDescent="0.25">
      <c r="A277" s="1466"/>
      <c r="B277" s="1470"/>
      <c r="C277" s="1470"/>
      <c r="D277" s="1475" t="s">
        <v>1463</v>
      </c>
      <c r="E277" s="1476"/>
      <c r="F277" s="1475"/>
      <c r="G277" s="1475"/>
      <c r="H277" s="1477" t="s">
        <v>1464</v>
      </c>
      <c r="I277" s="1477" t="s">
        <v>1816</v>
      </c>
      <c r="J277" s="1478"/>
      <c r="K277" s="1478"/>
      <c r="L277" s="1479">
        <f t="shared" si="9"/>
        <v>89823795</v>
      </c>
      <c r="M277" s="1479">
        <f>M278</f>
        <v>530000</v>
      </c>
      <c r="N277" s="1479">
        <f>N278</f>
        <v>89293795</v>
      </c>
      <c r="O277" s="1479">
        <f>O278</f>
        <v>89293795</v>
      </c>
    </row>
    <row r="278" spans="1:30" ht="13.8" x14ac:dyDescent="0.25">
      <c r="A278" s="1466"/>
      <c r="B278" s="1470"/>
      <c r="C278" s="1470"/>
      <c r="D278" s="1480" t="s">
        <v>1465</v>
      </c>
      <c r="E278" s="1481"/>
      <c r="F278" s="1480"/>
      <c r="G278" s="1480"/>
      <c r="H278" s="1482" t="s">
        <v>1464</v>
      </c>
      <c r="I278" s="1482" t="s">
        <v>1816</v>
      </c>
      <c r="J278" s="1483"/>
      <c r="K278" s="1483"/>
      <c r="L278" s="1484">
        <f t="shared" si="9"/>
        <v>89823795</v>
      </c>
      <c r="M278" s="1484">
        <f>SUM(M279:M283)</f>
        <v>530000</v>
      </c>
      <c r="N278" s="1484">
        <f>SUM(N279:N283)</f>
        <v>89293795</v>
      </c>
      <c r="O278" s="1484">
        <f>SUM(O279:O283)</f>
        <v>89293795</v>
      </c>
    </row>
    <row r="279" spans="1:30" ht="45.6" customHeight="1" x14ac:dyDescent="0.25">
      <c r="A279" s="1466"/>
      <c r="B279" s="1470"/>
      <c r="C279" s="1470"/>
      <c r="D279" s="1480" t="s">
        <v>1466</v>
      </c>
      <c r="E279" s="1481" t="s">
        <v>273</v>
      </c>
      <c r="F279" s="1481"/>
      <c r="G279" s="1481" t="s">
        <v>885</v>
      </c>
      <c r="H279" s="1525" t="s">
        <v>886</v>
      </c>
      <c r="I279" s="1525"/>
      <c r="J279" s="1483" t="s">
        <v>1842</v>
      </c>
      <c r="K279" s="1495" t="s">
        <v>1843</v>
      </c>
      <c r="L279" s="1484">
        <f t="shared" si="9"/>
        <v>530000</v>
      </c>
      <c r="M279" s="1485">
        <f>дод.3!E506</f>
        <v>530000</v>
      </c>
      <c r="N279" s="1485"/>
      <c r="O279" s="1485"/>
    </row>
    <row r="280" spans="1:30" ht="13.95" hidden="1" customHeight="1" x14ac:dyDescent="0.25">
      <c r="A280" s="1466"/>
      <c r="B280" s="1470"/>
      <c r="C280" s="1470"/>
      <c r="D280" s="1480" t="s">
        <v>1468</v>
      </c>
      <c r="E280" s="1481" t="s">
        <v>1428</v>
      </c>
      <c r="F280" s="1481"/>
      <c r="G280" s="1481" t="s">
        <v>1038</v>
      </c>
      <c r="H280" s="1525" t="s">
        <v>1469</v>
      </c>
      <c r="I280" s="1525"/>
      <c r="J280" s="1483" t="s">
        <v>1842</v>
      </c>
      <c r="K280" s="1495" t="s">
        <v>1844</v>
      </c>
      <c r="L280" s="1484">
        <f t="shared" si="9"/>
        <v>0</v>
      </c>
      <c r="M280" s="1485">
        <f>дод.3!E507</f>
        <v>0</v>
      </c>
      <c r="N280" s="1484"/>
      <c r="O280" s="1484"/>
    </row>
    <row r="281" spans="1:30" ht="13.95" hidden="1" customHeight="1" x14ac:dyDescent="0.25">
      <c r="A281" s="1466"/>
      <c r="B281" s="1470"/>
      <c r="C281" s="1470"/>
      <c r="D281" s="1480" t="s">
        <v>1470</v>
      </c>
      <c r="E281" s="1492">
        <v>8600</v>
      </c>
      <c r="F281" s="1481">
        <v>230000</v>
      </c>
      <c r="G281" s="1481" t="s">
        <v>1369</v>
      </c>
      <c r="H281" s="1493" t="s">
        <v>1845</v>
      </c>
      <c r="I281" s="1525" t="s">
        <v>540</v>
      </c>
      <c r="J281" s="1483" t="s">
        <v>1842</v>
      </c>
      <c r="K281" s="1495" t="s">
        <v>1846</v>
      </c>
      <c r="L281" s="1484">
        <f t="shared" si="9"/>
        <v>0</v>
      </c>
      <c r="M281" s="1485">
        <f>дод.3!E508</f>
        <v>0</v>
      </c>
      <c r="N281" s="1485"/>
      <c r="O281" s="1485"/>
    </row>
    <row r="282" spans="1:30" ht="54.6" customHeight="1" x14ac:dyDescent="0.25">
      <c r="A282" s="1466"/>
      <c r="B282" s="1470"/>
      <c r="C282" s="1470"/>
      <c r="D282" s="1480" t="s">
        <v>1847</v>
      </c>
      <c r="E282" s="1492">
        <v>8881</v>
      </c>
      <c r="F282" s="1481"/>
      <c r="G282" s="1481" t="s">
        <v>1038</v>
      </c>
      <c r="H282" s="1493" t="s">
        <v>1529</v>
      </c>
      <c r="I282" s="1525"/>
      <c r="J282" s="1483" t="s">
        <v>1842</v>
      </c>
      <c r="K282" s="1495" t="s">
        <v>1843</v>
      </c>
      <c r="L282" s="1484">
        <f t="shared" si="9"/>
        <v>89293795</v>
      </c>
      <c r="M282" s="1485"/>
      <c r="N282" s="1485">
        <v>89293795</v>
      </c>
      <c r="O282" s="1485">
        <f>дод.4!H34</f>
        <v>89293795</v>
      </c>
    </row>
    <row r="283" spans="1:30" ht="41.4" hidden="1" x14ac:dyDescent="0.25">
      <c r="A283" s="1466"/>
      <c r="B283" s="1470"/>
      <c r="C283" s="1470"/>
      <c r="D283" s="1480" t="s">
        <v>1479</v>
      </c>
      <c r="E283" s="1492">
        <v>9800</v>
      </c>
      <c r="F283" s="1481"/>
      <c r="G283" s="1481" t="s">
        <v>275</v>
      </c>
      <c r="H283" s="1493" t="s">
        <v>1300</v>
      </c>
      <c r="I283" s="1525"/>
      <c r="J283" s="1483" t="s">
        <v>1848</v>
      </c>
      <c r="K283" s="1495" t="s">
        <v>1849</v>
      </c>
      <c r="L283" s="1484">
        <f t="shared" si="9"/>
        <v>0</v>
      </c>
      <c r="M283" s="1485"/>
      <c r="N283" s="1485">
        <f>дод.3!M511</f>
        <v>0</v>
      </c>
      <c r="O283" s="1485">
        <f>N283</f>
        <v>0</v>
      </c>
    </row>
    <row r="284" spans="1:30" s="1430" customFormat="1" ht="22.95" customHeight="1" x14ac:dyDescent="0.3">
      <c r="A284" s="1558"/>
      <c r="B284" s="1559"/>
      <c r="C284" s="1560" t="s">
        <v>1532</v>
      </c>
      <c r="D284" s="1561" t="s">
        <v>853</v>
      </c>
      <c r="E284" s="1561" t="s">
        <v>853</v>
      </c>
      <c r="F284" s="1561"/>
      <c r="G284" s="1561" t="s">
        <v>853</v>
      </c>
      <c r="H284" s="1561" t="s">
        <v>1481</v>
      </c>
      <c r="I284" s="1561"/>
      <c r="J284" s="1561" t="s">
        <v>853</v>
      </c>
      <c r="K284" s="1561" t="s">
        <v>853</v>
      </c>
      <c r="L284" s="1562">
        <f>L11+L83+L104+L139+L184+L187+L203+L234+L277+L271+L221+L248+L135</f>
        <v>1848243892</v>
      </c>
      <c r="M284" s="1562">
        <f>M11+M83+M104+M139+M184+M187+M203+M234+M277+M271+M221+M248+M135</f>
        <v>1730597597</v>
      </c>
      <c r="N284" s="1562">
        <f>N11+N83+N104+N139+N184+N187+N203+N234+N277+N271+N221+N248+N135</f>
        <v>117646295</v>
      </c>
      <c r="O284" s="1562">
        <f>O11+O83+O104+O139+O184+O187+O203+O234+O277+O271+O221+O248+O135</f>
        <v>89293795</v>
      </c>
    </row>
    <row r="285" spans="1:30" x14ac:dyDescent="0.25">
      <c r="L285" s="1565"/>
      <c r="O285" s="1565"/>
      <c r="Q285" s="1507"/>
    </row>
    <row r="286" spans="1:30" s="1570" customFormat="1" ht="24" customHeight="1" x14ac:dyDescent="0.3">
      <c r="A286" s="1567"/>
      <c r="B286" s="1568"/>
      <c r="C286" s="1568"/>
      <c r="D286" s="1943" t="s">
        <v>681</v>
      </c>
      <c r="E286" s="1943"/>
      <c r="F286" s="1943"/>
      <c r="G286" s="1943"/>
      <c r="H286" s="1943"/>
      <c r="I286" s="1943"/>
      <c r="J286" s="1943"/>
      <c r="K286" s="1351"/>
      <c r="L286" s="1569"/>
      <c r="M286" s="1569"/>
      <c r="N286" s="1944" t="s">
        <v>682</v>
      </c>
      <c r="O286" s="1944"/>
      <c r="Q286" s="1569"/>
      <c r="R286" s="1569"/>
      <c r="S286" s="1569"/>
      <c r="T286" s="1569"/>
      <c r="U286" s="1569"/>
      <c r="V286" s="1569"/>
      <c r="W286" s="1569"/>
      <c r="X286" s="1569"/>
      <c r="Y286" s="1569"/>
      <c r="Z286" s="1569"/>
      <c r="AA286" s="1569"/>
      <c r="AB286" s="1569"/>
      <c r="AC286" s="1569"/>
      <c r="AD286" s="1569"/>
    </row>
    <row r="287" spans="1:30" x14ac:dyDescent="0.25">
      <c r="O287" s="1565"/>
    </row>
    <row r="288" spans="1:30" s="1569" customFormat="1" ht="17.399999999999999" x14ac:dyDescent="0.3">
      <c r="A288" s="1572"/>
      <c r="B288" s="1569" t="s">
        <v>1850</v>
      </c>
      <c r="C288" s="1569" t="s">
        <v>681</v>
      </c>
      <c r="D288" s="1573"/>
      <c r="E288" s="1351"/>
      <c r="F288" s="1574"/>
      <c r="G288" s="1575"/>
      <c r="H288" s="1575"/>
      <c r="I288" s="1575"/>
      <c r="J288" s="1575"/>
      <c r="K288" s="1575"/>
      <c r="L288" s="1576"/>
      <c r="M288" s="1576"/>
      <c r="N288" s="1576"/>
      <c r="O288" s="1576"/>
    </row>
    <row r="290" spans="12:12" x14ac:dyDescent="0.25">
      <c r="L290" s="1565"/>
    </row>
  </sheetData>
  <mergeCells count="195">
    <mergeCell ref="L8:L9"/>
    <mergeCell ref="M8:M9"/>
    <mergeCell ref="N8:O8"/>
    <mergeCell ref="D13:D17"/>
    <mergeCell ref="E13:E17"/>
    <mergeCell ref="G13:G17"/>
    <mergeCell ref="H13:H17"/>
    <mergeCell ref="N1:O2"/>
    <mergeCell ref="B4:O4"/>
    <mergeCell ref="D5:O5"/>
    <mergeCell ref="D6:O6"/>
    <mergeCell ref="D8:D9"/>
    <mergeCell ref="E8:E9"/>
    <mergeCell ref="G8:G9"/>
    <mergeCell ref="H8:H9"/>
    <mergeCell ref="J8:J9"/>
    <mergeCell ref="K8:K9"/>
    <mergeCell ref="D33:D35"/>
    <mergeCell ref="E33:E35"/>
    <mergeCell ref="G33:G35"/>
    <mergeCell ref="H33:H35"/>
    <mergeCell ref="D38:D39"/>
    <mergeCell ref="E38:E39"/>
    <mergeCell ref="G38:G39"/>
    <mergeCell ref="H38:H39"/>
    <mergeCell ref="D18:D21"/>
    <mergeCell ref="E18:E21"/>
    <mergeCell ref="G18:G21"/>
    <mergeCell ref="H18:H21"/>
    <mergeCell ref="D25:D29"/>
    <mergeCell ref="E25:E29"/>
    <mergeCell ref="G25:G29"/>
    <mergeCell ref="H25:H29"/>
    <mergeCell ref="I48:I54"/>
    <mergeCell ref="D49:D54"/>
    <mergeCell ref="E49:E54"/>
    <mergeCell ref="G49:G54"/>
    <mergeCell ref="H49:H54"/>
    <mergeCell ref="D41:D43"/>
    <mergeCell ref="E41:E43"/>
    <mergeCell ref="G41:G43"/>
    <mergeCell ref="H41:H43"/>
    <mergeCell ref="D45:D47"/>
    <mergeCell ref="E45:E47"/>
    <mergeCell ref="G45:G47"/>
    <mergeCell ref="H45:H47"/>
    <mergeCell ref="D55:D59"/>
    <mergeCell ref="E55:E59"/>
    <mergeCell ref="G55:G59"/>
    <mergeCell ref="H55:H59"/>
    <mergeCell ref="D61:D65"/>
    <mergeCell ref="E61:E65"/>
    <mergeCell ref="G61:G65"/>
    <mergeCell ref="H61:H65"/>
    <mergeCell ref="F48:F54"/>
    <mergeCell ref="D73:D74"/>
    <mergeCell ref="E73:E74"/>
    <mergeCell ref="G73:G74"/>
    <mergeCell ref="H73:H74"/>
    <mergeCell ref="D85:D87"/>
    <mergeCell ref="E85:E87"/>
    <mergeCell ref="G85:G87"/>
    <mergeCell ref="H85:H87"/>
    <mergeCell ref="D66:D68"/>
    <mergeCell ref="E66:E68"/>
    <mergeCell ref="G66:G68"/>
    <mergeCell ref="H66:H68"/>
    <mergeCell ref="D69:D71"/>
    <mergeCell ref="E69:E71"/>
    <mergeCell ref="G69:G71"/>
    <mergeCell ref="H69:H71"/>
    <mergeCell ref="D88:D90"/>
    <mergeCell ref="E88:E90"/>
    <mergeCell ref="G88:G90"/>
    <mergeCell ref="H88:H90"/>
    <mergeCell ref="D91:D93"/>
    <mergeCell ref="E91:E93"/>
    <mergeCell ref="F91:F92"/>
    <mergeCell ref="G91:G93"/>
    <mergeCell ref="H91:H93"/>
    <mergeCell ref="I91:I92"/>
    <mergeCell ref="D95:D97"/>
    <mergeCell ref="E95:E97"/>
    <mergeCell ref="G95:G97"/>
    <mergeCell ref="H95:H97"/>
    <mergeCell ref="D99:D102"/>
    <mergeCell ref="E99:E102"/>
    <mergeCell ref="G99:G102"/>
    <mergeCell ref="H99:H102"/>
    <mergeCell ref="I130:I133"/>
    <mergeCell ref="D123:D125"/>
    <mergeCell ref="E123:E125"/>
    <mergeCell ref="G123:G125"/>
    <mergeCell ref="H123:H125"/>
    <mergeCell ref="F124:F125"/>
    <mergeCell ref="I124:I125"/>
    <mergeCell ref="D112:D115"/>
    <mergeCell ref="E112:E115"/>
    <mergeCell ref="G112:G115"/>
    <mergeCell ref="H112:H115"/>
    <mergeCell ref="D116:D119"/>
    <mergeCell ref="E116:E119"/>
    <mergeCell ref="G116:G119"/>
    <mergeCell ref="H116:H119"/>
    <mergeCell ref="D142:D145"/>
    <mergeCell ref="E142:E145"/>
    <mergeCell ref="G142:G145"/>
    <mergeCell ref="H142:H145"/>
    <mergeCell ref="D147:D149"/>
    <mergeCell ref="E147:E149"/>
    <mergeCell ref="G147:G149"/>
    <mergeCell ref="H147:H149"/>
    <mergeCell ref="D129:D133"/>
    <mergeCell ref="E129:E133"/>
    <mergeCell ref="G129:G133"/>
    <mergeCell ref="H129:H133"/>
    <mergeCell ref="F130:F133"/>
    <mergeCell ref="D150:D151"/>
    <mergeCell ref="E150:E151"/>
    <mergeCell ref="G150:G151"/>
    <mergeCell ref="H150:H151"/>
    <mergeCell ref="D152:D155"/>
    <mergeCell ref="E152:E155"/>
    <mergeCell ref="G152:G155"/>
    <mergeCell ref="H152:H155"/>
    <mergeCell ref="F153:F156"/>
    <mergeCell ref="K167:K168"/>
    <mergeCell ref="D169:D170"/>
    <mergeCell ref="E169:E170"/>
    <mergeCell ref="G169:G170"/>
    <mergeCell ref="H169:H170"/>
    <mergeCell ref="I153:I156"/>
    <mergeCell ref="D159:D161"/>
    <mergeCell ref="E159:E161"/>
    <mergeCell ref="G159:G161"/>
    <mergeCell ref="H159:H161"/>
    <mergeCell ref="D166:D168"/>
    <mergeCell ref="E166:E168"/>
    <mergeCell ref="G166:G168"/>
    <mergeCell ref="H166:H168"/>
    <mergeCell ref="D176:D181"/>
    <mergeCell ref="E176:E181"/>
    <mergeCell ref="G176:G181"/>
    <mergeCell ref="H176:H181"/>
    <mergeCell ref="D182:D183"/>
    <mergeCell ref="E182:E183"/>
    <mergeCell ref="G182:G183"/>
    <mergeCell ref="H182:H183"/>
    <mergeCell ref="J167:J168"/>
    <mergeCell ref="D206:D211"/>
    <mergeCell ref="E206:E211"/>
    <mergeCell ref="G206:G211"/>
    <mergeCell ref="H206:H211"/>
    <mergeCell ref="D219:D220"/>
    <mergeCell ref="E219:E220"/>
    <mergeCell ref="G219:G220"/>
    <mergeCell ref="H219:H220"/>
    <mergeCell ref="D190:D192"/>
    <mergeCell ref="E190:E192"/>
    <mergeCell ref="G190:G192"/>
    <mergeCell ref="H190:H192"/>
    <mergeCell ref="D196:D197"/>
    <mergeCell ref="E196:E197"/>
    <mergeCell ref="G196:G197"/>
    <mergeCell ref="H196:H197"/>
    <mergeCell ref="D244:D247"/>
    <mergeCell ref="E244:E247"/>
    <mergeCell ref="G244:G247"/>
    <mergeCell ref="H244:H247"/>
    <mergeCell ref="D255:D258"/>
    <mergeCell ref="E255:E258"/>
    <mergeCell ref="G255:G258"/>
    <mergeCell ref="H255:H258"/>
    <mergeCell ref="D224:D228"/>
    <mergeCell ref="E224:E228"/>
    <mergeCell ref="G224:G228"/>
    <mergeCell ref="H224:H228"/>
    <mergeCell ref="D236:D237"/>
    <mergeCell ref="E236:E237"/>
    <mergeCell ref="G236:G237"/>
    <mergeCell ref="H236:H237"/>
    <mergeCell ref="D274:D276"/>
    <mergeCell ref="E274:E276"/>
    <mergeCell ref="G274:G276"/>
    <mergeCell ref="H274:H276"/>
    <mergeCell ref="D286:J286"/>
    <mergeCell ref="N286:O286"/>
    <mergeCell ref="D259:D266"/>
    <mergeCell ref="E259:E266"/>
    <mergeCell ref="G259:G266"/>
    <mergeCell ref="H259:H266"/>
    <mergeCell ref="D267:D270"/>
    <mergeCell ref="E267:E270"/>
    <mergeCell ref="G267:G270"/>
    <mergeCell ref="H267:H270"/>
  </mergeCells>
  <pageMargins left="0.35433070866141736" right="0.23622047244094491" top="0.38" bottom="0.44" header="0.34" footer="0.37"/>
  <pageSetup paperSize="9" scale="57" fitToHeight="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workbookViewId="0">
      <selection activeCell="F69" sqref="F69"/>
    </sheetView>
  </sheetViews>
  <sheetFormatPr defaultColWidth="9.33203125" defaultRowHeight="13.2" x14ac:dyDescent="0.25"/>
  <cols>
    <col min="1" max="1" width="18" style="1577" customWidth="1"/>
    <col min="2" max="2" width="76.6640625" style="1578" customWidth="1"/>
    <col min="3" max="3" width="54.77734375" style="1580" customWidth="1"/>
    <col min="4" max="256" width="9.33203125" style="1577"/>
    <col min="257" max="257" width="18" style="1577" customWidth="1"/>
    <col min="258" max="258" width="76.6640625" style="1577" customWidth="1"/>
    <col min="259" max="259" width="54.77734375" style="1577" customWidth="1"/>
    <col min="260" max="512" width="9.33203125" style="1577"/>
    <col min="513" max="513" width="18" style="1577" customWidth="1"/>
    <col min="514" max="514" width="76.6640625" style="1577" customWidth="1"/>
    <col min="515" max="515" width="54.77734375" style="1577" customWidth="1"/>
    <col min="516" max="768" width="9.33203125" style="1577"/>
    <col min="769" max="769" width="18" style="1577" customWidth="1"/>
    <col min="770" max="770" width="76.6640625" style="1577" customWidth="1"/>
    <col min="771" max="771" width="54.77734375" style="1577" customWidth="1"/>
    <col min="772" max="1024" width="9.33203125" style="1577"/>
    <col min="1025" max="1025" width="18" style="1577" customWidth="1"/>
    <col min="1026" max="1026" width="76.6640625" style="1577" customWidth="1"/>
    <col min="1027" max="1027" width="54.77734375" style="1577" customWidth="1"/>
    <col min="1028" max="1280" width="9.33203125" style="1577"/>
    <col min="1281" max="1281" width="18" style="1577" customWidth="1"/>
    <col min="1282" max="1282" width="76.6640625" style="1577" customWidth="1"/>
    <col min="1283" max="1283" width="54.77734375" style="1577" customWidth="1"/>
    <col min="1284" max="1536" width="9.33203125" style="1577"/>
    <col min="1537" max="1537" width="18" style="1577" customWidth="1"/>
    <col min="1538" max="1538" width="76.6640625" style="1577" customWidth="1"/>
    <col min="1539" max="1539" width="54.77734375" style="1577" customWidth="1"/>
    <col min="1540" max="1792" width="9.33203125" style="1577"/>
    <col min="1793" max="1793" width="18" style="1577" customWidth="1"/>
    <col min="1794" max="1794" width="76.6640625" style="1577" customWidth="1"/>
    <col min="1795" max="1795" width="54.77734375" style="1577" customWidth="1"/>
    <col min="1796" max="2048" width="9.33203125" style="1577"/>
    <col min="2049" max="2049" width="18" style="1577" customWidth="1"/>
    <col min="2050" max="2050" width="76.6640625" style="1577" customWidth="1"/>
    <col min="2051" max="2051" width="54.77734375" style="1577" customWidth="1"/>
    <col min="2052" max="2304" width="9.33203125" style="1577"/>
    <col min="2305" max="2305" width="18" style="1577" customWidth="1"/>
    <col min="2306" max="2306" width="76.6640625" style="1577" customWidth="1"/>
    <col min="2307" max="2307" width="54.77734375" style="1577" customWidth="1"/>
    <col min="2308" max="2560" width="9.33203125" style="1577"/>
    <col min="2561" max="2561" width="18" style="1577" customWidth="1"/>
    <col min="2562" max="2562" width="76.6640625" style="1577" customWidth="1"/>
    <col min="2563" max="2563" width="54.77734375" style="1577" customWidth="1"/>
    <col min="2564" max="2816" width="9.33203125" style="1577"/>
    <col min="2817" max="2817" width="18" style="1577" customWidth="1"/>
    <col min="2818" max="2818" width="76.6640625" style="1577" customWidth="1"/>
    <col min="2819" max="2819" width="54.77734375" style="1577" customWidth="1"/>
    <col min="2820" max="3072" width="9.33203125" style="1577"/>
    <col min="3073" max="3073" width="18" style="1577" customWidth="1"/>
    <col min="3074" max="3074" width="76.6640625" style="1577" customWidth="1"/>
    <col min="3075" max="3075" width="54.77734375" style="1577" customWidth="1"/>
    <col min="3076" max="3328" width="9.33203125" style="1577"/>
    <col min="3329" max="3329" width="18" style="1577" customWidth="1"/>
    <col min="3330" max="3330" width="76.6640625" style="1577" customWidth="1"/>
    <col min="3331" max="3331" width="54.77734375" style="1577" customWidth="1"/>
    <col min="3332" max="3584" width="9.33203125" style="1577"/>
    <col min="3585" max="3585" width="18" style="1577" customWidth="1"/>
    <col min="3586" max="3586" width="76.6640625" style="1577" customWidth="1"/>
    <col min="3587" max="3587" width="54.77734375" style="1577" customWidth="1"/>
    <col min="3588" max="3840" width="9.33203125" style="1577"/>
    <col min="3841" max="3841" width="18" style="1577" customWidth="1"/>
    <col min="3842" max="3842" width="76.6640625" style="1577" customWidth="1"/>
    <col min="3843" max="3843" width="54.77734375" style="1577" customWidth="1"/>
    <col min="3844" max="4096" width="9.33203125" style="1577"/>
    <col min="4097" max="4097" width="18" style="1577" customWidth="1"/>
    <col min="4098" max="4098" width="76.6640625" style="1577" customWidth="1"/>
    <col min="4099" max="4099" width="54.77734375" style="1577" customWidth="1"/>
    <col min="4100" max="4352" width="9.33203125" style="1577"/>
    <col min="4353" max="4353" width="18" style="1577" customWidth="1"/>
    <col min="4354" max="4354" width="76.6640625" style="1577" customWidth="1"/>
    <col min="4355" max="4355" width="54.77734375" style="1577" customWidth="1"/>
    <col min="4356" max="4608" width="9.33203125" style="1577"/>
    <col min="4609" max="4609" width="18" style="1577" customWidth="1"/>
    <col min="4610" max="4610" width="76.6640625" style="1577" customWidth="1"/>
    <col min="4611" max="4611" width="54.77734375" style="1577" customWidth="1"/>
    <col min="4612" max="4864" width="9.33203125" style="1577"/>
    <col min="4865" max="4865" width="18" style="1577" customWidth="1"/>
    <col min="4866" max="4866" width="76.6640625" style="1577" customWidth="1"/>
    <col min="4867" max="4867" width="54.77734375" style="1577" customWidth="1"/>
    <col min="4868" max="5120" width="9.33203125" style="1577"/>
    <col min="5121" max="5121" width="18" style="1577" customWidth="1"/>
    <col min="5122" max="5122" width="76.6640625" style="1577" customWidth="1"/>
    <col min="5123" max="5123" width="54.77734375" style="1577" customWidth="1"/>
    <col min="5124" max="5376" width="9.33203125" style="1577"/>
    <col min="5377" max="5377" width="18" style="1577" customWidth="1"/>
    <col min="5378" max="5378" width="76.6640625" style="1577" customWidth="1"/>
    <col min="5379" max="5379" width="54.77734375" style="1577" customWidth="1"/>
    <col min="5380" max="5632" width="9.33203125" style="1577"/>
    <col min="5633" max="5633" width="18" style="1577" customWidth="1"/>
    <col min="5634" max="5634" width="76.6640625" style="1577" customWidth="1"/>
    <col min="5635" max="5635" width="54.77734375" style="1577" customWidth="1"/>
    <col min="5636" max="5888" width="9.33203125" style="1577"/>
    <col min="5889" max="5889" width="18" style="1577" customWidth="1"/>
    <col min="5890" max="5890" width="76.6640625" style="1577" customWidth="1"/>
    <col min="5891" max="5891" width="54.77734375" style="1577" customWidth="1"/>
    <col min="5892" max="6144" width="9.33203125" style="1577"/>
    <col min="6145" max="6145" width="18" style="1577" customWidth="1"/>
    <col min="6146" max="6146" width="76.6640625" style="1577" customWidth="1"/>
    <col min="6147" max="6147" width="54.77734375" style="1577" customWidth="1"/>
    <col min="6148" max="6400" width="9.33203125" style="1577"/>
    <col min="6401" max="6401" width="18" style="1577" customWidth="1"/>
    <col min="6402" max="6402" width="76.6640625" style="1577" customWidth="1"/>
    <col min="6403" max="6403" width="54.77734375" style="1577" customWidth="1"/>
    <col min="6404" max="6656" width="9.33203125" style="1577"/>
    <col min="6657" max="6657" width="18" style="1577" customWidth="1"/>
    <col min="6658" max="6658" width="76.6640625" style="1577" customWidth="1"/>
    <col min="6659" max="6659" width="54.77734375" style="1577" customWidth="1"/>
    <col min="6660" max="6912" width="9.33203125" style="1577"/>
    <col min="6913" max="6913" width="18" style="1577" customWidth="1"/>
    <col min="6914" max="6914" width="76.6640625" style="1577" customWidth="1"/>
    <col min="6915" max="6915" width="54.77734375" style="1577" customWidth="1"/>
    <col min="6916" max="7168" width="9.33203125" style="1577"/>
    <col min="7169" max="7169" width="18" style="1577" customWidth="1"/>
    <col min="7170" max="7170" width="76.6640625" style="1577" customWidth="1"/>
    <col min="7171" max="7171" width="54.77734375" style="1577" customWidth="1"/>
    <col min="7172" max="7424" width="9.33203125" style="1577"/>
    <col min="7425" max="7425" width="18" style="1577" customWidth="1"/>
    <col min="7426" max="7426" width="76.6640625" style="1577" customWidth="1"/>
    <col min="7427" max="7427" width="54.77734375" style="1577" customWidth="1"/>
    <col min="7428" max="7680" width="9.33203125" style="1577"/>
    <col min="7681" max="7681" width="18" style="1577" customWidth="1"/>
    <col min="7682" max="7682" width="76.6640625" style="1577" customWidth="1"/>
    <col min="7683" max="7683" width="54.77734375" style="1577" customWidth="1"/>
    <col min="7684" max="7936" width="9.33203125" style="1577"/>
    <col min="7937" max="7937" width="18" style="1577" customWidth="1"/>
    <col min="7938" max="7938" width="76.6640625" style="1577" customWidth="1"/>
    <col min="7939" max="7939" width="54.77734375" style="1577" customWidth="1"/>
    <col min="7940" max="8192" width="9.33203125" style="1577"/>
    <col min="8193" max="8193" width="18" style="1577" customWidth="1"/>
    <col min="8194" max="8194" width="76.6640625" style="1577" customWidth="1"/>
    <col min="8195" max="8195" width="54.77734375" style="1577" customWidth="1"/>
    <col min="8196" max="8448" width="9.33203125" style="1577"/>
    <col min="8449" max="8449" width="18" style="1577" customWidth="1"/>
    <col min="8450" max="8450" width="76.6640625" style="1577" customWidth="1"/>
    <col min="8451" max="8451" width="54.77734375" style="1577" customWidth="1"/>
    <col min="8452" max="8704" width="9.33203125" style="1577"/>
    <col min="8705" max="8705" width="18" style="1577" customWidth="1"/>
    <col min="8706" max="8706" width="76.6640625" style="1577" customWidth="1"/>
    <col min="8707" max="8707" width="54.77734375" style="1577" customWidth="1"/>
    <col min="8708" max="8960" width="9.33203125" style="1577"/>
    <col min="8961" max="8961" width="18" style="1577" customWidth="1"/>
    <col min="8962" max="8962" width="76.6640625" style="1577" customWidth="1"/>
    <col min="8963" max="8963" width="54.77734375" style="1577" customWidth="1"/>
    <col min="8964" max="9216" width="9.33203125" style="1577"/>
    <col min="9217" max="9217" width="18" style="1577" customWidth="1"/>
    <col min="9218" max="9218" width="76.6640625" style="1577" customWidth="1"/>
    <col min="9219" max="9219" width="54.77734375" style="1577" customWidth="1"/>
    <col min="9220" max="9472" width="9.33203125" style="1577"/>
    <col min="9473" max="9473" width="18" style="1577" customWidth="1"/>
    <col min="9474" max="9474" width="76.6640625" style="1577" customWidth="1"/>
    <col min="9475" max="9475" width="54.77734375" style="1577" customWidth="1"/>
    <col min="9476" max="9728" width="9.33203125" style="1577"/>
    <col min="9729" max="9729" width="18" style="1577" customWidth="1"/>
    <col min="9730" max="9730" width="76.6640625" style="1577" customWidth="1"/>
    <col min="9731" max="9731" width="54.77734375" style="1577" customWidth="1"/>
    <col min="9732" max="9984" width="9.33203125" style="1577"/>
    <col min="9985" max="9985" width="18" style="1577" customWidth="1"/>
    <col min="9986" max="9986" width="76.6640625" style="1577" customWidth="1"/>
    <col min="9987" max="9987" width="54.77734375" style="1577" customWidth="1"/>
    <col min="9988" max="10240" width="9.33203125" style="1577"/>
    <col min="10241" max="10241" width="18" style="1577" customWidth="1"/>
    <col min="10242" max="10242" width="76.6640625" style="1577" customWidth="1"/>
    <col min="10243" max="10243" width="54.77734375" style="1577" customWidth="1"/>
    <col min="10244" max="10496" width="9.33203125" style="1577"/>
    <col min="10497" max="10497" width="18" style="1577" customWidth="1"/>
    <col min="10498" max="10498" width="76.6640625" style="1577" customWidth="1"/>
    <col min="10499" max="10499" width="54.77734375" style="1577" customWidth="1"/>
    <col min="10500" max="10752" width="9.33203125" style="1577"/>
    <col min="10753" max="10753" width="18" style="1577" customWidth="1"/>
    <col min="10754" max="10754" width="76.6640625" style="1577" customWidth="1"/>
    <col min="10755" max="10755" width="54.77734375" style="1577" customWidth="1"/>
    <col min="10756" max="11008" width="9.33203125" style="1577"/>
    <col min="11009" max="11009" width="18" style="1577" customWidth="1"/>
    <col min="11010" max="11010" width="76.6640625" style="1577" customWidth="1"/>
    <col min="11011" max="11011" width="54.77734375" style="1577" customWidth="1"/>
    <col min="11012" max="11264" width="9.33203125" style="1577"/>
    <col min="11265" max="11265" width="18" style="1577" customWidth="1"/>
    <col min="11266" max="11266" width="76.6640625" style="1577" customWidth="1"/>
    <col min="11267" max="11267" width="54.77734375" style="1577" customWidth="1"/>
    <col min="11268" max="11520" width="9.33203125" style="1577"/>
    <col min="11521" max="11521" width="18" style="1577" customWidth="1"/>
    <col min="11522" max="11522" width="76.6640625" style="1577" customWidth="1"/>
    <col min="11523" max="11523" width="54.77734375" style="1577" customWidth="1"/>
    <col min="11524" max="11776" width="9.33203125" style="1577"/>
    <col min="11777" max="11777" width="18" style="1577" customWidth="1"/>
    <col min="11778" max="11778" width="76.6640625" style="1577" customWidth="1"/>
    <col min="11779" max="11779" width="54.77734375" style="1577" customWidth="1"/>
    <col min="11780" max="12032" width="9.33203125" style="1577"/>
    <col min="12033" max="12033" width="18" style="1577" customWidth="1"/>
    <col min="12034" max="12034" width="76.6640625" style="1577" customWidth="1"/>
    <col min="12035" max="12035" width="54.77734375" style="1577" customWidth="1"/>
    <col min="12036" max="12288" width="9.33203125" style="1577"/>
    <col min="12289" max="12289" width="18" style="1577" customWidth="1"/>
    <col min="12290" max="12290" width="76.6640625" style="1577" customWidth="1"/>
    <col min="12291" max="12291" width="54.77734375" style="1577" customWidth="1"/>
    <col min="12292" max="12544" width="9.33203125" style="1577"/>
    <col min="12545" max="12545" width="18" style="1577" customWidth="1"/>
    <col min="12546" max="12546" width="76.6640625" style="1577" customWidth="1"/>
    <col min="12547" max="12547" width="54.77734375" style="1577" customWidth="1"/>
    <col min="12548" max="12800" width="9.33203125" style="1577"/>
    <col min="12801" max="12801" width="18" style="1577" customWidth="1"/>
    <col min="12802" max="12802" width="76.6640625" style="1577" customWidth="1"/>
    <col min="12803" max="12803" width="54.77734375" style="1577" customWidth="1"/>
    <col min="12804" max="13056" width="9.33203125" style="1577"/>
    <col min="13057" max="13057" width="18" style="1577" customWidth="1"/>
    <col min="13058" max="13058" width="76.6640625" style="1577" customWidth="1"/>
    <col min="13059" max="13059" width="54.77734375" style="1577" customWidth="1"/>
    <col min="13060" max="13312" width="9.33203125" style="1577"/>
    <col min="13313" max="13313" width="18" style="1577" customWidth="1"/>
    <col min="13314" max="13314" width="76.6640625" style="1577" customWidth="1"/>
    <col min="13315" max="13315" width="54.77734375" style="1577" customWidth="1"/>
    <col min="13316" max="13568" width="9.33203125" style="1577"/>
    <col min="13569" max="13569" width="18" style="1577" customWidth="1"/>
    <col min="13570" max="13570" width="76.6640625" style="1577" customWidth="1"/>
    <col min="13571" max="13571" width="54.77734375" style="1577" customWidth="1"/>
    <col min="13572" max="13824" width="9.33203125" style="1577"/>
    <col min="13825" max="13825" width="18" style="1577" customWidth="1"/>
    <col min="13826" max="13826" width="76.6640625" style="1577" customWidth="1"/>
    <col min="13827" max="13827" width="54.77734375" style="1577" customWidth="1"/>
    <col min="13828" max="14080" width="9.33203125" style="1577"/>
    <col min="14081" max="14081" width="18" style="1577" customWidth="1"/>
    <col min="14082" max="14082" width="76.6640625" style="1577" customWidth="1"/>
    <col min="14083" max="14083" width="54.77734375" style="1577" customWidth="1"/>
    <col min="14084" max="14336" width="9.33203125" style="1577"/>
    <col min="14337" max="14337" width="18" style="1577" customWidth="1"/>
    <col min="14338" max="14338" width="76.6640625" style="1577" customWidth="1"/>
    <col min="14339" max="14339" width="54.77734375" style="1577" customWidth="1"/>
    <col min="14340" max="14592" width="9.33203125" style="1577"/>
    <col min="14593" max="14593" width="18" style="1577" customWidth="1"/>
    <col min="14594" max="14594" width="76.6640625" style="1577" customWidth="1"/>
    <col min="14595" max="14595" width="54.77734375" style="1577" customWidth="1"/>
    <col min="14596" max="14848" width="9.33203125" style="1577"/>
    <col min="14849" max="14849" width="18" style="1577" customWidth="1"/>
    <col min="14850" max="14850" width="76.6640625" style="1577" customWidth="1"/>
    <col min="14851" max="14851" width="54.77734375" style="1577" customWidth="1"/>
    <col min="14852" max="15104" width="9.33203125" style="1577"/>
    <col min="15105" max="15105" width="18" style="1577" customWidth="1"/>
    <col min="15106" max="15106" width="76.6640625" style="1577" customWidth="1"/>
    <col min="15107" max="15107" width="54.77734375" style="1577" customWidth="1"/>
    <col min="15108" max="15360" width="9.33203125" style="1577"/>
    <col min="15361" max="15361" width="18" style="1577" customWidth="1"/>
    <col min="15362" max="15362" width="76.6640625" style="1577" customWidth="1"/>
    <col min="15363" max="15363" width="54.77734375" style="1577" customWidth="1"/>
    <col min="15364" max="15616" width="9.33203125" style="1577"/>
    <col min="15617" max="15617" width="18" style="1577" customWidth="1"/>
    <col min="15618" max="15618" width="76.6640625" style="1577" customWidth="1"/>
    <col min="15619" max="15619" width="54.77734375" style="1577" customWidth="1"/>
    <col min="15620" max="15872" width="9.33203125" style="1577"/>
    <col min="15873" max="15873" width="18" style="1577" customWidth="1"/>
    <col min="15874" max="15874" width="76.6640625" style="1577" customWidth="1"/>
    <col min="15875" max="15875" width="54.77734375" style="1577" customWidth="1"/>
    <col min="15876" max="16128" width="9.33203125" style="1577"/>
    <col min="16129" max="16129" width="18" style="1577" customWidth="1"/>
    <col min="16130" max="16130" width="76.6640625" style="1577" customWidth="1"/>
    <col min="16131" max="16131" width="54.77734375" style="1577" customWidth="1"/>
    <col min="16132" max="16384" width="9.33203125" style="1577"/>
  </cols>
  <sheetData>
    <row r="1" spans="1:8" ht="78" customHeight="1" x14ac:dyDescent="0.25">
      <c r="C1" s="1579" t="s">
        <v>1851</v>
      </c>
      <c r="F1" s="1119"/>
      <c r="G1" s="1119"/>
      <c r="H1" s="1119"/>
    </row>
    <row r="2" spans="1:8" ht="18" customHeight="1" x14ac:dyDescent="0.25">
      <c r="F2" s="1119"/>
      <c r="G2" s="1119"/>
      <c r="H2" s="1119"/>
    </row>
    <row r="3" spans="1:8" ht="56.25" customHeight="1" x14ac:dyDescent="0.25">
      <c r="A3" s="1998" t="s">
        <v>1852</v>
      </c>
      <c r="B3" s="1998"/>
      <c r="C3" s="1998"/>
      <c r="F3" s="1119"/>
      <c r="G3" s="1119"/>
      <c r="H3" s="1119"/>
    </row>
    <row r="4" spans="1:8" s="1076" customFormat="1" ht="20.399999999999999" x14ac:dyDescent="0.25">
      <c r="A4" s="1581">
        <v>2357600000</v>
      </c>
      <c r="B4" s="1582"/>
      <c r="C4" s="1582"/>
      <c r="D4" s="1074"/>
      <c r="E4" s="1074"/>
      <c r="F4" s="1074"/>
      <c r="G4" s="1074"/>
      <c r="H4" s="1074"/>
    </row>
    <row r="5" spans="1:8" s="1076" customFormat="1" ht="20.399999999999999" x14ac:dyDescent="0.25">
      <c r="A5" s="1583" t="s">
        <v>691</v>
      </c>
      <c r="B5" s="1582"/>
      <c r="C5" s="1582"/>
      <c r="D5" s="1074"/>
      <c r="E5" s="1074"/>
      <c r="F5" s="1074"/>
      <c r="G5" s="1074"/>
      <c r="H5" s="1074"/>
    </row>
    <row r="6" spans="1:8" ht="9" customHeight="1" x14ac:dyDescent="0.25">
      <c r="A6" s="1999"/>
      <c r="B6" s="1999"/>
      <c r="C6" s="1999"/>
      <c r="F6" s="1119"/>
      <c r="G6" s="1119"/>
      <c r="H6" s="1119"/>
    </row>
    <row r="7" spans="1:8" ht="49.95" customHeight="1" x14ac:dyDescent="0.25">
      <c r="A7" s="1584" t="s">
        <v>693</v>
      </c>
      <c r="B7" s="1584" t="s">
        <v>1853</v>
      </c>
      <c r="C7" s="1584" t="s">
        <v>1854</v>
      </c>
      <c r="F7" s="1119"/>
      <c r="G7" s="1119"/>
      <c r="H7" s="1119"/>
    </row>
    <row r="8" spans="1:8" ht="76.05" customHeight="1" x14ac:dyDescent="0.25">
      <c r="A8" s="2000" t="s">
        <v>1855</v>
      </c>
      <c r="B8" s="2002" t="s">
        <v>1856</v>
      </c>
      <c r="C8" s="1585" t="s">
        <v>1857</v>
      </c>
      <c r="F8" s="1119"/>
      <c r="G8" s="1119"/>
      <c r="H8" s="1119"/>
    </row>
    <row r="9" spans="1:8" s="1587" customFormat="1" ht="90.6" customHeight="1" x14ac:dyDescent="0.25">
      <c r="A9" s="2001"/>
      <c r="B9" s="1993"/>
      <c r="C9" s="1586" t="s">
        <v>1858</v>
      </c>
      <c r="F9" s="1588"/>
      <c r="G9" s="1588"/>
      <c r="H9" s="1588"/>
    </row>
    <row r="10" spans="1:8" s="1587" customFormat="1" ht="49.8" customHeight="1" x14ac:dyDescent="0.25">
      <c r="A10" s="1589" t="s">
        <v>1859</v>
      </c>
      <c r="B10" s="1590" t="s">
        <v>748</v>
      </c>
      <c r="C10" s="1586" t="s">
        <v>1860</v>
      </c>
      <c r="F10" s="1588"/>
      <c r="G10" s="1588"/>
      <c r="H10" s="1588"/>
    </row>
    <row r="11" spans="1:8" s="1587" customFormat="1" ht="43.2" customHeight="1" x14ac:dyDescent="0.25">
      <c r="A11" s="1991" t="s">
        <v>117</v>
      </c>
      <c r="B11" s="2003" t="s">
        <v>149</v>
      </c>
      <c r="C11" s="1586" t="s">
        <v>1861</v>
      </c>
      <c r="F11" s="1588"/>
      <c r="G11" s="1588"/>
      <c r="H11" s="1588"/>
    </row>
    <row r="12" spans="1:8" s="1587" customFormat="1" ht="38.4" customHeight="1" x14ac:dyDescent="0.35">
      <c r="A12" s="1991"/>
      <c r="B12" s="2003"/>
      <c r="C12" s="1591" t="s">
        <v>1862</v>
      </c>
      <c r="F12" s="1588"/>
      <c r="G12" s="1588"/>
      <c r="H12" s="1588"/>
    </row>
    <row r="13" spans="1:8" s="1587" customFormat="1" ht="51" customHeight="1" x14ac:dyDescent="0.25">
      <c r="A13" s="1991"/>
      <c r="B13" s="2003"/>
      <c r="C13" s="1586" t="s">
        <v>1863</v>
      </c>
      <c r="F13" s="1588"/>
      <c r="G13" s="1588"/>
      <c r="H13" s="1588"/>
    </row>
    <row r="14" spans="1:8" s="1587" customFormat="1" ht="69.599999999999994" customHeight="1" x14ac:dyDescent="0.25">
      <c r="A14" s="1991"/>
      <c r="B14" s="2003"/>
      <c r="C14" s="1586" t="s">
        <v>1864</v>
      </c>
      <c r="F14" s="1588"/>
      <c r="G14" s="1588"/>
      <c r="H14" s="1588"/>
    </row>
    <row r="15" spans="1:8" s="1587" customFormat="1" ht="37.5" customHeight="1" x14ac:dyDescent="0.25">
      <c r="A15" s="1994" t="s">
        <v>123</v>
      </c>
      <c r="B15" s="1996" t="s">
        <v>122</v>
      </c>
      <c r="C15" s="1592" t="s">
        <v>1865</v>
      </c>
      <c r="F15" s="1588"/>
      <c r="G15" s="1588"/>
      <c r="H15" s="1588"/>
    </row>
    <row r="16" spans="1:8" s="1593" customFormat="1" ht="64.2" customHeight="1" x14ac:dyDescent="0.25">
      <c r="A16" s="1995"/>
      <c r="B16" s="1997"/>
      <c r="C16" s="1592" t="s">
        <v>1866</v>
      </c>
      <c r="F16" s="1594"/>
      <c r="G16" s="1594"/>
      <c r="H16" s="1594"/>
    </row>
    <row r="17" spans="1:8" s="1593" customFormat="1" ht="190.5" customHeight="1" x14ac:dyDescent="0.25">
      <c r="A17" s="1595" t="s">
        <v>1867</v>
      </c>
      <c r="B17" s="1596" t="s">
        <v>1868</v>
      </c>
      <c r="C17" s="1586" t="s">
        <v>1869</v>
      </c>
      <c r="F17" s="1594"/>
      <c r="G17" s="1594"/>
      <c r="H17" s="1594"/>
    </row>
    <row r="18" spans="1:8" s="1587" customFormat="1" ht="63" customHeight="1" x14ac:dyDescent="0.25">
      <c r="A18" s="1589" t="s">
        <v>1870</v>
      </c>
      <c r="B18" s="1590" t="s">
        <v>1871</v>
      </c>
      <c r="C18" s="1586" t="s">
        <v>1865</v>
      </c>
      <c r="F18" s="1588"/>
      <c r="G18" s="1588"/>
      <c r="H18" s="1588"/>
    </row>
    <row r="19" spans="1:8" s="1593" customFormat="1" ht="142.80000000000001" customHeight="1" x14ac:dyDescent="0.25">
      <c r="A19" s="1597" t="s">
        <v>1872</v>
      </c>
      <c r="B19" s="1596" t="s">
        <v>1873</v>
      </c>
      <c r="C19" s="1596" t="s">
        <v>1874</v>
      </c>
      <c r="F19" s="1594"/>
      <c r="G19" s="1594"/>
      <c r="H19" s="1594"/>
    </row>
    <row r="20" spans="1:8" s="1593" customFormat="1" ht="70.2" customHeight="1" x14ac:dyDescent="0.25">
      <c r="A20" s="1597">
        <v>22090400</v>
      </c>
      <c r="B20" s="1596" t="s">
        <v>145</v>
      </c>
      <c r="C20" s="1596" t="s">
        <v>1875</v>
      </c>
      <c r="F20" s="1594"/>
      <c r="G20" s="1594"/>
      <c r="H20" s="1594"/>
    </row>
    <row r="21" spans="1:8" s="1587" customFormat="1" ht="54" x14ac:dyDescent="0.25">
      <c r="A21" s="1991" t="s">
        <v>153</v>
      </c>
      <c r="B21" s="1993" t="s">
        <v>1876</v>
      </c>
      <c r="C21" s="1585" t="s">
        <v>1877</v>
      </c>
      <c r="F21" s="1588"/>
      <c r="G21" s="1588"/>
      <c r="H21" s="1588"/>
    </row>
    <row r="22" spans="1:8" s="1587" customFormat="1" ht="37.200000000000003" customHeight="1" x14ac:dyDescent="0.35">
      <c r="A22" s="1991"/>
      <c r="B22" s="1993"/>
      <c r="C22" s="1591" t="s">
        <v>1862</v>
      </c>
      <c r="F22" s="1588"/>
      <c r="G22" s="1588"/>
      <c r="H22" s="1588"/>
    </row>
    <row r="23" spans="1:8" s="1587" customFormat="1" ht="75.45" customHeight="1" x14ac:dyDescent="0.25">
      <c r="A23" s="1991"/>
      <c r="B23" s="1993"/>
      <c r="C23" s="1586" t="s">
        <v>1858</v>
      </c>
      <c r="F23" s="1588"/>
      <c r="G23" s="1588"/>
      <c r="H23" s="1588"/>
    </row>
    <row r="24" spans="1:8" s="1587" customFormat="1" ht="54" x14ac:dyDescent="0.25">
      <c r="A24" s="1991" t="s">
        <v>153</v>
      </c>
      <c r="B24" s="1993" t="s">
        <v>1878</v>
      </c>
      <c r="C24" s="1585" t="s">
        <v>1877</v>
      </c>
      <c r="F24" s="1588"/>
      <c r="G24" s="1588"/>
      <c r="H24" s="1588"/>
    </row>
    <row r="25" spans="1:8" s="1587" customFormat="1" ht="72" x14ac:dyDescent="0.25">
      <c r="A25" s="1991"/>
      <c r="B25" s="1993"/>
      <c r="C25" s="1586" t="s">
        <v>1858</v>
      </c>
      <c r="D25" s="1588"/>
      <c r="E25" s="1588"/>
      <c r="F25" s="1588"/>
      <c r="G25" s="1588"/>
      <c r="H25" s="1588"/>
    </row>
    <row r="26" spans="1:8" s="1587" customFormat="1" ht="36" x14ac:dyDescent="0.25">
      <c r="A26" s="1991" t="s">
        <v>1879</v>
      </c>
      <c r="B26" s="1992" t="s">
        <v>164</v>
      </c>
      <c r="C26" s="1585" t="s">
        <v>1880</v>
      </c>
      <c r="D26" s="1588"/>
      <c r="E26" s="1588"/>
      <c r="F26" s="1588"/>
      <c r="G26" s="1588"/>
      <c r="H26" s="1588"/>
    </row>
    <row r="27" spans="1:8" s="1587" customFormat="1" ht="76.2" customHeight="1" x14ac:dyDescent="0.25">
      <c r="A27" s="1991"/>
      <c r="B27" s="1992"/>
      <c r="C27" s="1586" t="s">
        <v>1864</v>
      </c>
      <c r="D27" s="1588"/>
      <c r="E27" s="1588"/>
      <c r="F27" s="1588"/>
      <c r="G27" s="1588"/>
      <c r="H27" s="1588"/>
    </row>
    <row r="28" spans="1:8" s="1587" customFormat="1" ht="36" x14ac:dyDescent="0.25">
      <c r="A28" s="1991" t="s">
        <v>155</v>
      </c>
      <c r="B28" s="1993" t="s">
        <v>1881</v>
      </c>
      <c r="C28" s="1586" t="s">
        <v>1882</v>
      </c>
      <c r="D28" s="1588"/>
      <c r="E28" s="1588"/>
      <c r="F28" s="1588"/>
      <c r="G28" s="1588"/>
      <c r="H28" s="1588"/>
    </row>
    <row r="29" spans="1:8" s="1587" customFormat="1" ht="216" x14ac:dyDescent="0.25">
      <c r="A29" s="1991"/>
      <c r="B29" s="1993"/>
      <c r="C29" s="1586" t="s">
        <v>1883</v>
      </c>
      <c r="D29" s="1588"/>
      <c r="E29" s="1588"/>
      <c r="F29" s="1588"/>
      <c r="G29" s="1588"/>
      <c r="H29" s="1588"/>
    </row>
    <row r="30" spans="1:8" s="1587" customFormat="1" ht="43.2" customHeight="1" x14ac:dyDescent="0.25">
      <c r="A30" s="1589">
        <v>24110700</v>
      </c>
      <c r="B30" s="1596" t="s">
        <v>158</v>
      </c>
      <c r="C30" s="1586" t="s">
        <v>1884</v>
      </c>
      <c r="D30" s="1588"/>
      <c r="E30" s="1588"/>
      <c r="F30" s="1588"/>
      <c r="G30" s="1588"/>
      <c r="H30" s="1588"/>
    </row>
    <row r="31" spans="1:8" s="1587" customFormat="1" ht="41.25" customHeight="1" x14ac:dyDescent="0.25">
      <c r="A31" s="1589" t="s">
        <v>1885</v>
      </c>
      <c r="B31" s="1598" t="s">
        <v>1886</v>
      </c>
      <c r="C31" s="1586" t="s">
        <v>1865</v>
      </c>
      <c r="D31" s="1588"/>
      <c r="E31" s="1588"/>
      <c r="F31" s="1588"/>
      <c r="G31" s="1588"/>
      <c r="H31" s="1588"/>
    </row>
    <row r="32" spans="1:8" s="1587" customFormat="1" ht="57.75" customHeight="1" x14ac:dyDescent="0.25">
      <c r="A32" s="1991" t="s">
        <v>1887</v>
      </c>
      <c r="B32" s="1992" t="s">
        <v>186</v>
      </c>
      <c r="C32" s="1585" t="s">
        <v>1882</v>
      </c>
      <c r="D32" s="1588"/>
      <c r="E32" s="1588"/>
      <c r="F32" s="1588"/>
      <c r="G32" s="1588"/>
      <c r="H32" s="1588"/>
    </row>
    <row r="33" spans="1:8" s="1587" customFormat="1" ht="76.8" customHeight="1" x14ac:dyDescent="0.25">
      <c r="A33" s="1991"/>
      <c r="B33" s="1992"/>
      <c r="C33" s="1586" t="s">
        <v>1864</v>
      </c>
      <c r="D33" s="1588"/>
      <c r="E33" s="1588"/>
      <c r="F33" s="1588"/>
      <c r="G33" s="1588"/>
      <c r="H33" s="1588"/>
    </row>
    <row r="34" spans="1:8" s="1587" customFormat="1" ht="37.5" hidden="1" customHeight="1" x14ac:dyDescent="0.25">
      <c r="A34" s="1589" t="s">
        <v>1888</v>
      </c>
      <c r="B34" s="1598" t="s">
        <v>1889</v>
      </c>
      <c r="C34" s="1586"/>
      <c r="D34" s="1588"/>
      <c r="E34" s="1588"/>
      <c r="F34" s="1588"/>
      <c r="G34" s="1588"/>
      <c r="H34" s="1588"/>
    </row>
    <row r="35" spans="1:8" s="1587" customFormat="1" ht="18.75" hidden="1" customHeight="1" x14ac:dyDescent="0.25">
      <c r="A35" s="1589"/>
      <c r="B35" s="1599" t="s">
        <v>1890</v>
      </c>
      <c r="C35" s="1586"/>
      <c r="D35" s="1588"/>
      <c r="E35" s="1588"/>
      <c r="F35" s="1588"/>
      <c r="G35" s="1588"/>
      <c r="H35" s="1588"/>
    </row>
    <row r="36" spans="1:8" s="1587" customFormat="1" ht="56.25" hidden="1" customHeight="1" x14ac:dyDescent="0.25">
      <c r="A36" s="1589"/>
      <c r="B36" s="1600" t="s">
        <v>1891</v>
      </c>
      <c r="C36" s="1586" t="s">
        <v>1892</v>
      </c>
      <c r="D36" s="1588"/>
      <c r="E36" s="1588"/>
      <c r="F36" s="1588"/>
      <c r="G36" s="1588"/>
      <c r="H36" s="1588"/>
    </row>
    <row r="37" spans="1:8" s="1587" customFormat="1" ht="56.25" hidden="1" customHeight="1" x14ac:dyDescent="0.25">
      <c r="A37" s="1589"/>
      <c r="B37" s="1600" t="s">
        <v>1893</v>
      </c>
      <c r="C37" s="1586" t="s">
        <v>1892</v>
      </c>
      <c r="D37" s="1588"/>
      <c r="E37" s="1588"/>
      <c r="F37" s="1588"/>
      <c r="G37" s="1588"/>
      <c r="H37" s="1588"/>
    </row>
    <row r="38" spans="1:8" s="1587" customFormat="1" ht="37.5" hidden="1" customHeight="1" x14ac:dyDescent="0.25">
      <c r="A38" s="1589"/>
      <c r="B38" s="1600" t="s">
        <v>1894</v>
      </c>
      <c r="C38" s="1586" t="s">
        <v>1895</v>
      </c>
      <c r="D38" s="1588"/>
      <c r="E38" s="1588"/>
      <c r="F38" s="1588"/>
      <c r="G38" s="1588"/>
      <c r="H38" s="1588"/>
    </row>
    <row r="39" spans="1:8" s="1587" customFormat="1" ht="21.75" hidden="1" customHeight="1" x14ac:dyDescent="0.25">
      <c r="A39" s="1589"/>
      <c r="B39" s="1600" t="s">
        <v>1890</v>
      </c>
      <c r="C39" s="1586"/>
      <c r="D39" s="1588"/>
      <c r="E39" s="1588"/>
      <c r="F39" s="1588"/>
      <c r="G39" s="1588"/>
      <c r="H39" s="1588"/>
    </row>
    <row r="40" spans="1:8" s="1587" customFormat="1" ht="75.45" hidden="1" customHeight="1" x14ac:dyDescent="0.25">
      <c r="A40" s="1589"/>
      <c r="B40" s="1599" t="s">
        <v>1896</v>
      </c>
      <c r="C40" s="1586" t="s">
        <v>1897</v>
      </c>
      <c r="D40" s="1588"/>
      <c r="E40" s="1588"/>
      <c r="F40" s="1588"/>
      <c r="G40" s="1588"/>
      <c r="H40" s="1588"/>
    </row>
    <row r="41" spans="1:8" s="1587" customFormat="1" ht="120.75" hidden="1" customHeight="1" x14ac:dyDescent="0.25">
      <c r="A41" s="1589"/>
      <c r="B41" s="1599" t="s">
        <v>1898</v>
      </c>
      <c r="C41" s="1586" t="s">
        <v>1899</v>
      </c>
      <c r="D41" s="1588"/>
      <c r="E41" s="1588"/>
      <c r="F41" s="1588"/>
      <c r="G41" s="1588"/>
      <c r="H41" s="1588"/>
    </row>
    <row r="42" spans="1:8" s="1587" customFormat="1" ht="60.75" hidden="1" customHeight="1" x14ac:dyDescent="0.25">
      <c r="A42" s="1589"/>
      <c r="B42" s="1600" t="s">
        <v>1900</v>
      </c>
      <c r="C42" s="1586" t="s">
        <v>1901</v>
      </c>
      <c r="D42" s="1588"/>
      <c r="E42" s="1588"/>
      <c r="F42" s="1588"/>
      <c r="G42" s="1588"/>
      <c r="H42" s="1588"/>
    </row>
    <row r="43" spans="1:8" s="1587" customFormat="1" ht="80.7" hidden="1" customHeight="1" x14ac:dyDescent="0.25">
      <c r="A43" s="1589"/>
      <c r="B43" s="1600" t="s">
        <v>1902</v>
      </c>
      <c r="C43" s="1586" t="s">
        <v>1899</v>
      </c>
      <c r="D43" s="1588"/>
      <c r="E43" s="1588"/>
      <c r="F43" s="1588"/>
      <c r="G43" s="1588"/>
      <c r="H43" s="1588"/>
    </row>
    <row r="44" spans="1:8" s="1587" customFormat="1" ht="56.25" hidden="1" customHeight="1" x14ac:dyDescent="0.25">
      <c r="A44" s="1589"/>
      <c r="B44" s="1601" t="s">
        <v>1903</v>
      </c>
      <c r="C44" s="1586" t="s">
        <v>1904</v>
      </c>
    </row>
    <row r="45" spans="1:8" s="1587" customFormat="1" ht="56.25" hidden="1" customHeight="1" x14ac:dyDescent="0.25">
      <c r="A45" s="1589"/>
      <c r="B45" s="1601" t="s">
        <v>1905</v>
      </c>
      <c r="C45" s="1586" t="s">
        <v>1906</v>
      </c>
    </row>
    <row r="46" spans="1:8" s="1587" customFormat="1" ht="93.75" hidden="1" customHeight="1" x14ac:dyDescent="0.25">
      <c r="A46" s="1589"/>
      <c r="B46" s="1601" t="s">
        <v>1907</v>
      </c>
      <c r="C46" s="1586" t="s">
        <v>1908</v>
      </c>
    </row>
    <row r="47" spans="1:8" s="1587" customFormat="1" ht="75.45" hidden="1" customHeight="1" x14ac:dyDescent="0.25">
      <c r="A47" s="1589" t="s">
        <v>161</v>
      </c>
      <c r="B47" s="1598" t="s">
        <v>766</v>
      </c>
      <c r="C47" s="1586" t="s">
        <v>1895</v>
      </c>
    </row>
    <row r="48" spans="1:8" s="1587" customFormat="1" ht="58.8" customHeight="1" x14ac:dyDescent="0.25">
      <c r="A48" s="1983" t="s">
        <v>1888</v>
      </c>
      <c r="B48" s="1985" t="s">
        <v>782</v>
      </c>
      <c r="C48" s="1586" t="s">
        <v>1909</v>
      </c>
    </row>
    <row r="49" spans="1:8" s="1587" customFormat="1" ht="76.05" customHeight="1" x14ac:dyDescent="0.25">
      <c r="A49" s="1984"/>
      <c r="B49" s="1986"/>
      <c r="C49" s="1586" t="s">
        <v>1864</v>
      </c>
    </row>
    <row r="50" spans="1:8" s="1587" customFormat="1" ht="136.19999999999999" customHeight="1" x14ac:dyDescent="0.25">
      <c r="A50" s="1597">
        <v>24111200</v>
      </c>
      <c r="B50" s="1596" t="s">
        <v>767</v>
      </c>
      <c r="C50" s="1987" t="s">
        <v>1910</v>
      </c>
    </row>
    <row r="51" spans="1:8" s="1123" customFormat="1" ht="55.5" customHeight="1" x14ac:dyDescent="0.25">
      <c r="A51" s="1589" t="s">
        <v>1911</v>
      </c>
      <c r="B51" s="1596" t="s">
        <v>1912</v>
      </c>
      <c r="C51" s="1988"/>
      <c r="D51" s="1074"/>
      <c r="E51" s="1074"/>
      <c r="F51" s="1074"/>
      <c r="G51" s="1074"/>
      <c r="H51" s="1074"/>
    </row>
    <row r="52" spans="1:8" s="1602" customFormat="1" ht="79.2" customHeight="1" x14ac:dyDescent="0.25">
      <c r="A52" s="1597">
        <v>24110900</v>
      </c>
      <c r="B52" s="1596" t="s">
        <v>766</v>
      </c>
      <c r="C52" s="1989" t="s">
        <v>1913</v>
      </c>
    </row>
    <row r="53" spans="1:8" s="1602" customFormat="1" ht="67.5" customHeight="1" x14ac:dyDescent="0.25">
      <c r="A53" s="1589" t="s">
        <v>1508</v>
      </c>
      <c r="B53" s="1596" t="s">
        <v>1509</v>
      </c>
      <c r="C53" s="1989"/>
    </row>
    <row r="54" spans="1:8" ht="105.45" customHeight="1" x14ac:dyDescent="0.25">
      <c r="A54" s="1990" t="s">
        <v>1914</v>
      </c>
      <c r="B54" s="1990"/>
      <c r="C54" s="1990"/>
    </row>
    <row r="55" spans="1:8" ht="18" x14ac:dyDescent="0.25">
      <c r="A55" s="1603"/>
      <c r="B55" s="1604"/>
      <c r="C55" s="1605"/>
    </row>
    <row r="56" spans="1:8" ht="18" x14ac:dyDescent="0.25">
      <c r="A56" s="1603"/>
      <c r="B56" s="1604"/>
      <c r="C56" s="1605"/>
    </row>
    <row r="57" spans="1:8" ht="16.8" x14ac:dyDescent="0.3">
      <c r="A57" s="1396" t="s">
        <v>681</v>
      </c>
      <c r="B57" s="1122"/>
      <c r="C57" s="1606" t="s">
        <v>682</v>
      </c>
      <c r="D57" s="1119"/>
      <c r="E57" s="1119"/>
      <c r="F57" s="1119"/>
      <c r="G57" s="1119"/>
      <c r="H57" s="1119"/>
    </row>
    <row r="58" spans="1:8" x14ac:dyDescent="0.25">
      <c r="A58" s="1607"/>
      <c r="B58" s="1602"/>
      <c r="C58" s="1602"/>
      <c r="D58" s="1119"/>
      <c r="E58" s="1119"/>
      <c r="F58" s="1119"/>
      <c r="G58" s="1119"/>
      <c r="H58" s="1119"/>
    </row>
    <row r="59" spans="1:8" x14ac:dyDescent="0.25">
      <c r="A59" s="1607"/>
      <c r="B59" s="1602"/>
      <c r="C59" s="1602"/>
      <c r="D59" s="1119"/>
      <c r="E59" s="1119"/>
      <c r="F59" s="1119"/>
      <c r="G59" s="1119"/>
      <c r="H59" s="1119"/>
    </row>
    <row r="60" spans="1:8" x14ac:dyDescent="0.25">
      <c r="A60" s="1608"/>
      <c r="B60" s="1609"/>
      <c r="C60" s="1610"/>
      <c r="D60" s="1119"/>
      <c r="E60" s="1119"/>
      <c r="F60" s="1119"/>
      <c r="G60" s="1119"/>
      <c r="H60" s="1119"/>
    </row>
    <row r="61" spans="1:8" x14ac:dyDescent="0.25">
      <c r="A61" s="1608"/>
      <c r="B61" s="1609"/>
      <c r="C61" s="1610"/>
      <c r="D61" s="1119"/>
      <c r="E61" s="1119"/>
      <c r="F61" s="1119"/>
      <c r="G61" s="1119"/>
      <c r="H61" s="1119"/>
    </row>
    <row r="62" spans="1:8" x14ac:dyDescent="0.25">
      <c r="A62" s="1608"/>
      <c r="B62" s="1609"/>
      <c r="C62" s="1610"/>
      <c r="D62" s="1119"/>
      <c r="E62" s="1119"/>
      <c r="F62" s="1119"/>
      <c r="G62" s="1119"/>
      <c r="H62" s="1119"/>
    </row>
    <row r="63" spans="1:8" x14ac:dyDescent="0.25">
      <c r="A63" s="1608"/>
      <c r="B63" s="1609"/>
      <c r="C63" s="1610"/>
      <c r="D63" s="1119"/>
      <c r="E63" s="1119"/>
      <c r="F63" s="1119"/>
      <c r="G63" s="1119"/>
      <c r="H63" s="1119"/>
    </row>
    <row r="64" spans="1:8" x14ac:dyDescent="0.25">
      <c r="A64" s="1608"/>
      <c r="B64" s="1609"/>
      <c r="C64" s="1610"/>
      <c r="D64" s="1119"/>
      <c r="E64" s="1119"/>
      <c r="F64" s="1119"/>
      <c r="G64" s="1119"/>
      <c r="H64" s="1119"/>
    </row>
    <row r="65" spans="1:8" x14ac:dyDescent="0.25">
      <c r="A65" s="1608"/>
      <c r="B65" s="1609"/>
      <c r="C65" s="1610"/>
      <c r="D65" s="1119"/>
      <c r="E65" s="1119"/>
      <c r="F65" s="1119"/>
      <c r="G65" s="1119"/>
      <c r="H65" s="1119"/>
    </row>
    <row r="66" spans="1:8" x14ac:dyDescent="0.25">
      <c r="A66" s="1608"/>
      <c r="B66" s="1609"/>
      <c r="C66" s="1610"/>
      <c r="D66" s="1119"/>
      <c r="E66" s="1119"/>
      <c r="F66" s="1119"/>
      <c r="G66" s="1119"/>
      <c r="H66" s="1119"/>
    </row>
    <row r="67" spans="1:8" x14ac:dyDescent="0.25">
      <c r="A67" s="1608"/>
      <c r="B67" s="1609"/>
      <c r="C67" s="1610"/>
      <c r="D67" s="1119"/>
      <c r="E67" s="1119"/>
      <c r="F67" s="1119"/>
      <c r="G67" s="1119"/>
      <c r="H67" s="1119"/>
    </row>
    <row r="68" spans="1:8" x14ac:dyDescent="0.25">
      <c r="A68" s="1608"/>
      <c r="B68" s="1609"/>
      <c r="C68" s="1610"/>
      <c r="D68" s="1119"/>
      <c r="E68" s="1119"/>
      <c r="F68" s="1119"/>
      <c r="G68" s="1119"/>
      <c r="H68" s="1119"/>
    </row>
    <row r="69" spans="1:8" x14ac:dyDescent="0.25">
      <c r="A69" s="1608"/>
      <c r="B69" s="1609"/>
      <c r="C69" s="1610"/>
      <c r="D69" s="1119"/>
      <c r="E69" s="1119"/>
      <c r="F69" s="1119"/>
      <c r="G69" s="1119"/>
      <c r="H69" s="1119"/>
    </row>
    <row r="70" spans="1:8" x14ac:dyDescent="0.25">
      <c r="A70" s="1608"/>
      <c r="B70" s="1609"/>
      <c r="C70" s="1610"/>
      <c r="D70" s="1119"/>
      <c r="E70" s="1119"/>
      <c r="F70" s="1119"/>
      <c r="G70" s="1119"/>
      <c r="H70" s="1119"/>
    </row>
    <row r="71" spans="1:8" x14ac:dyDescent="0.25">
      <c r="A71" s="1608"/>
      <c r="B71" s="1609"/>
      <c r="C71" s="1610"/>
      <c r="D71" s="1119"/>
      <c r="E71" s="1119"/>
      <c r="F71" s="1119"/>
      <c r="G71" s="1119"/>
      <c r="H71" s="1119"/>
    </row>
    <row r="72" spans="1:8" x14ac:dyDescent="0.25">
      <c r="A72" s="1608"/>
      <c r="B72" s="1609"/>
      <c r="C72" s="1610"/>
      <c r="D72" s="1119"/>
      <c r="E72" s="1119"/>
      <c r="F72" s="1119"/>
      <c r="G72" s="1119"/>
      <c r="H72" s="1119"/>
    </row>
    <row r="73" spans="1:8" x14ac:dyDescent="0.25">
      <c r="A73" s="1608"/>
      <c r="B73" s="1609"/>
      <c r="C73" s="1610"/>
      <c r="D73" s="1119"/>
      <c r="E73" s="1119"/>
      <c r="F73" s="1119"/>
      <c r="G73" s="1119"/>
      <c r="H73" s="1119"/>
    </row>
    <row r="74" spans="1:8" x14ac:dyDescent="0.25">
      <c r="A74" s="1608"/>
      <c r="B74" s="1609"/>
      <c r="C74" s="1610"/>
      <c r="D74" s="1119"/>
      <c r="E74" s="1119"/>
      <c r="F74" s="1119"/>
      <c r="G74" s="1119"/>
      <c r="H74" s="1119"/>
    </row>
    <row r="75" spans="1:8" x14ac:dyDescent="0.25">
      <c r="A75" s="1608"/>
      <c r="B75" s="1609"/>
      <c r="C75" s="1610"/>
      <c r="D75" s="1119"/>
      <c r="E75" s="1119"/>
      <c r="F75" s="1119"/>
      <c r="G75" s="1119"/>
      <c r="H75" s="1119"/>
    </row>
    <row r="76" spans="1:8" x14ac:dyDescent="0.25">
      <c r="A76" s="1608"/>
      <c r="B76" s="1609"/>
      <c r="C76" s="1610"/>
      <c r="D76" s="1119"/>
      <c r="E76" s="1119"/>
      <c r="F76" s="1119"/>
      <c r="G76" s="1119"/>
      <c r="H76" s="1119"/>
    </row>
    <row r="77" spans="1:8" x14ac:dyDescent="0.25">
      <c r="A77" s="1608"/>
      <c r="B77" s="1609"/>
      <c r="C77" s="1610"/>
      <c r="D77" s="1119"/>
      <c r="E77" s="1119"/>
      <c r="F77" s="1119"/>
      <c r="G77" s="1119"/>
      <c r="H77" s="1119"/>
    </row>
    <row r="78" spans="1:8" x14ac:dyDescent="0.25">
      <c r="A78" s="1608"/>
      <c r="B78" s="1609"/>
      <c r="C78" s="1610"/>
      <c r="D78" s="1119"/>
      <c r="E78" s="1119"/>
      <c r="F78" s="1119"/>
      <c r="G78" s="1119"/>
      <c r="H78" s="1119"/>
    </row>
    <row r="79" spans="1:8" x14ac:dyDescent="0.25">
      <c r="A79" s="1608"/>
      <c r="B79" s="1609"/>
      <c r="C79" s="1610"/>
      <c r="D79" s="1119"/>
      <c r="E79" s="1119"/>
      <c r="F79" s="1119"/>
      <c r="G79" s="1119"/>
      <c r="H79" s="1119"/>
    </row>
    <row r="80" spans="1:8" x14ac:dyDescent="0.25">
      <c r="A80" s="1608"/>
      <c r="B80" s="1609"/>
      <c r="C80" s="1610"/>
      <c r="D80" s="1119"/>
      <c r="E80" s="1119"/>
      <c r="F80" s="1119"/>
      <c r="G80" s="1119"/>
      <c r="H80" s="1119"/>
    </row>
    <row r="81" spans="1:8" x14ac:dyDescent="0.25">
      <c r="A81" s="1608"/>
      <c r="B81" s="1609"/>
      <c r="C81" s="1610"/>
      <c r="D81" s="1119"/>
      <c r="E81" s="1119"/>
      <c r="F81" s="1119"/>
      <c r="G81" s="1119"/>
      <c r="H81" s="1119"/>
    </row>
    <row r="82" spans="1:8" x14ac:dyDescent="0.25">
      <c r="A82" s="1608"/>
      <c r="B82" s="1609"/>
      <c r="C82" s="1610"/>
      <c r="D82" s="1119"/>
      <c r="E82" s="1119"/>
      <c r="F82" s="1119"/>
      <c r="G82" s="1119"/>
      <c r="H82" s="1119"/>
    </row>
    <row r="83" spans="1:8" x14ac:dyDescent="0.25">
      <c r="A83" s="1608"/>
      <c r="B83" s="1609"/>
      <c r="C83" s="1610"/>
      <c r="D83" s="1119"/>
      <c r="E83" s="1119"/>
      <c r="F83" s="1119"/>
      <c r="G83" s="1119"/>
      <c r="H83" s="1119"/>
    </row>
    <row r="84" spans="1:8" x14ac:dyDescent="0.25">
      <c r="A84" s="1608"/>
      <c r="B84" s="1609"/>
      <c r="C84" s="1610"/>
      <c r="D84" s="1119"/>
      <c r="E84" s="1119"/>
      <c r="F84" s="1119"/>
      <c r="G84" s="1119"/>
      <c r="H84" s="1119"/>
    </row>
    <row r="85" spans="1:8" x14ac:dyDescent="0.25">
      <c r="A85" s="1608"/>
      <c r="B85" s="1609"/>
      <c r="C85" s="1610"/>
      <c r="D85" s="1119"/>
      <c r="E85" s="1119"/>
      <c r="F85" s="1119"/>
      <c r="G85" s="1119"/>
      <c r="H85" s="1119"/>
    </row>
    <row r="86" spans="1:8" x14ac:dyDescent="0.25">
      <c r="A86" s="1608"/>
      <c r="B86" s="1609"/>
      <c r="C86" s="1610"/>
      <c r="D86" s="1119"/>
      <c r="E86" s="1119"/>
      <c r="F86" s="1119"/>
      <c r="G86" s="1119"/>
      <c r="H86" s="1119"/>
    </row>
    <row r="87" spans="1:8" x14ac:dyDescent="0.25">
      <c r="A87" s="1608"/>
      <c r="B87" s="1609"/>
      <c r="C87" s="1610"/>
      <c r="D87" s="1119"/>
      <c r="E87" s="1119"/>
      <c r="F87" s="1119"/>
      <c r="G87" s="1119"/>
      <c r="H87" s="1119"/>
    </row>
    <row r="88" spans="1:8" x14ac:dyDescent="0.25">
      <c r="A88" s="1608"/>
      <c r="B88" s="1609"/>
      <c r="C88" s="1610"/>
      <c r="D88" s="1119"/>
      <c r="E88" s="1119"/>
      <c r="F88" s="1119"/>
      <c r="G88" s="1119"/>
      <c r="H88" s="1119"/>
    </row>
    <row r="89" spans="1:8" x14ac:dyDescent="0.25">
      <c r="A89" s="1608"/>
      <c r="B89" s="1609"/>
      <c r="C89" s="1610"/>
      <c r="D89" s="1119"/>
      <c r="E89" s="1119"/>
      <c r="F89" s="1119"/>
      <c r="G89" s="1119"/>
      <c r="H89" s="1119"/>
    </row>
    <row r="90" spans="1:8" x14ac:dyDescent="0.25">
      <c r="A90" s="1608"/>
      <c r="B90" s="1609"/>
      <c r="C90" s="1610"/>
      <c r="D90" s="1119"/>
      <c r="E90" s="1119"/>
      <c r="F90" s="1119"/>
      <c r="G90" s="1119"/>
      <c r="H90" s="1119"/>
    </row>
    <row r="91" spans="1:8" x14ac:dyDescent="0.25">
      <c r="A91" s="1608"/>
      <c r="B91" s="1609"/>
      <c r="C91" s="1610"/>
      <c r="D91" s="1119"/>
      <c r="E91" s="1119"/>
      <c r="F91" s="1119"/>
      <c r="G91" s="1119"/>
      <c r="H91" s="1119"/>
    </row>
    <row r="92" spans="1:8" x14ac:dyDescent="0.25">
      <c r="A92" s="1608"/>
      <c r="B92" s="1609"/>
      <c r="C92" s="1610"/>
      <c r="D92" s="1119"/>
      <c r="E92" s="1119"/>
      <c r="F92" s="1119"/>
      <c r="G92" s="1119"/>
      <c r="H92" s="1119"/>
    </row>
    <row r="93" spans="1:8" x14ac:dyDescent="0.25">
      <c r="A93" s="1608"/>
      <c r="B93" s="1609"/>
      <c r="C93" s="1610"/>
      <c r="D93" s="1119"/>
      <c r="E93" s="1119"/>
      <c r="F93" s="1119"/>
      <c r="G93" s="1119"/>
      <c r="H93" s="1119"/>
    </row>
    <row r="94" spans="1:8" x14ac:dyDescent="0.25">
      <c r="A94" s="1608"/>
      <c r="B94" s="1609"/>
      <c r="C94" s="1610"/>
      <c r="D94" s="1119"/>
      <c r="E94" s="1119"/>
      <c r="F94" s="1119"/>
      <c r="G94" s="1119"/>
      <c r="H94" s="1119"/>
    </row>
    <row r="95" spans="1:8" x14ac:dyDescent="0.25">
      <c r="A95" s="1608"/>
      <c r="B95" s="1609"/>
      <c r="C95" s="1610"/>
      <c r="D95" s="1119"/>
      <c r="E95" s="1119"/>
      <c r="F95" s="1119"/>
      <c r="G95" s="1119"/>
      <c r="H95" s="1119"/>
    </row>
    <row r="96" spans="1:8" x14ac:dyDescent="0.25">
      <c r="A96" s="1608"/>
      <c r="B96" s="1609"/>
      <c r="C96" s="1610"/>
      <c r="D96" s="1119"/>
      <c r="E96" s="1119"/>
      <c r="F96" s="1119"/>
      <c r="G96" s="1119"/>
      <c r="H96" s="1119"/>
    </row>
    <row r="97" spans="1:8" x14ac:dyDescent="0.25">
      <c r="A97" s="1608"/>
      <c r="B97" s="1609"/>
      <c r="C97" s="1610"/>
      <c r="D97" s="1119"/>
      <c r="E97" s="1119"/>
      <c r="F97" s="1119"/>
      <c r="G97" s="1119"/>
      <c r="H97" s="1119"/>
    </row>
    <row r="98" spans="1:8" x14ac:dyDescent="0.25">
      <c r="A98" s="1608"/>
      <c r="B98" s="1609"/>
      <c r="C98" s="1610"/>
      <c r="D98" s="1119"/>
      <c r="E98" s="1119"/>
      <c r="F98" s="1119"/>
      <c r="G98" s="1119"/>
      <c r="H98" s="1119"/>
    </row>
    <row r="99" spans="1:8" x14ac:dyDescent="0.25">
      <c r="A99" s="1608"/>
      <c r="B99" s="1609"/>
      <c r="C99" s="1610"/>
      <c r="D99" s="1119"/>
      <c r="E99" s="1119"/>
      <c r="F99" s="1119"/>
      <c r="G99" s="1119"/>
      <c r="H99" s="1119"/>
    </row>
    <row r="100" spans="1:8" x14ac:dyDescent="0.25">
      <c r="A100" s="1608"/>
      <c r="B100" s="1609"/>
      <c r="C100" s="1610"/>
      <c r="D100" s="1119"/>
      <c r="E100" s="1119"/>
      <c r="F100" s="1119"/>
      <c r="G100" s="1119"/>
      <c r="H100" s="1119"/>
    </row>
    <row r="101" spans="1:8" x14ac:dyDescent="0.25">
      <c r="A101" s="1608"/>
      <c r="B101" s="1609"/>
      <c r="C101" s="1610"/>
      <c r="D101" s="1119"/>
      <c r="E101" s="1119"/>
      <c r="F101" s="1119"/>
      <c r="G101" s="1119"/>
      <c r="H101" s="1119"/>
    </row>
    <row r="102" spans="1:8" x14ac:dyDescent="0.25">
      <c r="A102" s="1608"/>
      <c r="B102" s="1609"/>
      <c r="C102" s="1610"/>
      <c r="D102" s="1119"/>
      <c r="E102" s="1119"/>
      <c r="F102" s="1119"/>
      <c r="G102" s="1119"/>
      <c r="H102" s="1119"/>
    </row>
    <row r="103" spans="1:8" x14ac:dyDescent="0.25">
      <c r="A103" s="1608"/>
      <c r="B103" s="1609"/>
      <c r="C103" s="1610"/>
      <c r="D103" s="1119"/>
      <c r="E103" s="1119"/>
      <c r="F103" s="1119"/>
      <c r="G103" s="1119"/>
      <c r="H103" s="1119"/>
    </row>
    <row r="104" spans="1:8" x14ac:dyDescent="0.25">
      <c r="A104" s="1608"/>
      <c r="B104" s="1609"/>
      <c r="C104" s="1610"/>
      <c r="D104" s="1119"/>
      <c r="E104" s="1119"/>
      <c r="F104" s="1119"/>
      <c r="G104" s="1119"/>
      <c r="H104" s="1119"/>
    </row>
    <row r="105" spans="1:8" x14ac:dyDescent="0.25">
      <c r="A105" s="1608"/>
      <c r="B105" s="1609"/>
      <c r="C105" s="1610"/>
      <c r="D105" s="1119"/>
      <c r="E105" s="1119"/>
      <c r="F105" s="1119"/>
      <c r="G105" s="1119"/>
      <c r="H105" s="1119"/>
    </row>
    <row r="106" spans="1:8" x14ac:dyDescent="0.25">
      <c r="A106" s="1608"/>
      <c r="B106" s="1609"/>
      <c r="C106" s="1610"/>
      <c r="D106" s="1119"/>
      <c r="E106" s="1119"/>
      <c r="F106" s="1119"/>
      <c r="G106" s="1119"/>
      <c r="H106" s="1119"/>
    </row>
    <row r="107" spans="1:8" x14ac:dyDescent="0.25">
      <c r="A107" s="1608"/>
      <c r="B107" s="1609"/>
      <c r="C107" s="1610"/>
      <c r="D107" s="1119"/>
      <c r="E107" s="1119"/>
      <c r="F107" s="1119"/>
      <c r="G107" s="1119"/>
      <c r="H107" s="1119"/>
    </row>
    <row r="108" spans="1:8" x14ac:dyDescent="0.25">
      <c r="A108" s="1608"/>
      <c r="B108" s="1609"/>
      <c r="C108" s="1610"/>
      <c r="D108" s="1119"/>
      <c r="E108" s="1119"/>
      <c r="F108" s="1119"/>
      <c r="G108" s="1119"/>
      <c r="H108" s="1119"/>
    </row>
    <row r="109" spans="1:8" x14ac:dyDescent="0.25">
      <c r="A109" s="1608"/>
      <c r="B109" s="1609"/>
      <c r="C109" s="1610"/>
      <c r="D109" s="1119"/>
      <c r="E109" s="1119"/>
      <c r="F109" s="1119"/>
      <c r="G109" s="1119"/>
      <c r="H109" s="1119"/>
    </row>
    <row r="110" spans="1:8" x14ac:dyDescent="0.25">
      <c r="A110" s="1608"/>
      <c r="B110" s="1609"/>
      <c r="C110" s="1610"/>
      <c r="D110" s="1119"/>
      <c r="E110" s="1119"/>
      <c r="F110" s="1119"/>
      <c r="G110" s="1119"/>
      <c r="H110" s="1119"/>
    </row>
    <row r="111" spans="1:8" x14ac:dyDescent="0.25">
      <c r="A111" s="1608"/>
      <c r="B111" s="1609"/>
      <c r="C111" s="1610"/>
      <c r="D111" s="1119"/>
      <c r="E111" s="1119"/>
      <c r="F111" s="1119"/>
      <c r="G111" s="1119"/>
      <c r="H111" s="1119"/>
    </row>
    <row r="112" spans="1:8" x14ac:dyDescent="0.25">
      <c r="A112" s="1608"/>
      <c r="B112" s="1609"/>
      <c r="C112" s="1610"/>
      <c r="D112" s="1119"/>
      <c r="E112" s="1119"/>
      <c r="F112" s="1119"/>
      <c r="G112" s="1119"/>
      <c r="H112" s="1119"/>
    </row>
    <row r="113" spans="1:8" x14ac:dyDescent="0.25">
      <c r="A113" s="1608"/>
      <c r="B113" s="1609"/>
      <c r="C113" s="1610"/>
      <c r="D113" s="1119"/>
      <c r="E113" s="1119"/>
      <c r="F113" s="1119"/>
      <c r="G113" s="1119"/>
      <c r="H113" s="1119"/>
    </row>
    <row r="114" spans="1:8" x14ac:dyDescent="0.25">
      <c r="A114" s="1608"/>
      <c r="B114" s="1609"/>
      <c r="C114" s="1610"/>
      <c r="D114" s="1119"/>
      <c r="E114" s="1119"/>
      <c r="F114" s="1119"/>
      <c r="G114" s="1119"/>
      <c r="H114" s="1119"/>
    </row>
    <row r="115" spans="1:8" x14ac:dyDescent="0.25">
      <c r="A115" s="1608"/>
      <c r="B115" s="1609"/>
      <c r="C115" s="1610"/>
      <c r="D115" s="1119"/>
      <c r="E115" s="1119"/>
      <c r="F115" s="1119"/>
      <c r="G115" s="1119"/>
      <c r="H115" s="1119"/>
    </row>
    <row r="116" spans="1:8" x14ac:dyDescent="0.25">
      <c r="A116" s="1608"/>
      <c r="B116" s="1609"/>
      <c r="C116" s="1610"/>
      <c r="D116" s="1119"/>
      <c r="E116" s="1119"/>
      <c r="F116" s="1119"/>
      <c r="G116" s="1119"/>
      <c r="H116" s="1119"/>
    </row>
    <row r="117" spans="1:8" x14ac:dyDescent="0.25">
      <c r="A117" s="1608"/>
      <c r="B117" s="1609"/>
      <c r="C117" s="1610"/>
      <c r="D117" s="1119"/>
      <c r="E117" s="1119"/>
      <c r="F117" s="1119"/>
      <c r="G117" s="1119"/>
      <c r="H117" s="1119"/>
    </row>
    <row r="118" spans="1:8" x14ac:dyDescent="0.25">
      <c r="A118" s="1608"/>
      <c r="B118" s="1609"/>
      <c r="C118" s="1610"/>
      <c r="D118" s="1119"/>
      <c r="E118" s="1119"/>
      <c r="F118" s="1119"/>
      <c r="G118" s="1119"/>
      <c r="H118" s="1119"/>
    </row>
    <row r="119" spans="1:8" x14ac:dyDescent="0.25">
      <c r="A119" s="1608"/>
      <c r="B119" s="1609"/>
      <c r="C119" s="1610"/>
      <c r="D119" s="1119"/>
      <c r="E119" s="1119"/>
      <c r="F119" s="1119"/>
      <c r="G119" s="1119"/>
      <c r="H119" s="1119"/>
    </row>
    <row r="120" spans="1:8" x14ac:dyDescent="0.25">
      <c r="A120" s="1608"/>
      <c r="B120" s="1609"/>
      <c r="C120" s="1610"/>
      <c r="D120" s="1119"/>
      <c r="E120" s="1119"/>
      <c r="F120" s="1119"/>
      <c r="G120" s="1119"/>
      <c r="H120" s="1119"/>
    </row>
    <row r="121" spans="1:8" x14ac:dyDescent="0.25">
      <c r="A121" s="1608"/>
      <c r="B121" s="1609"/>
      <c r="C121" s="1610"/>
      <c r="D121" s="1119"/>
      <c r="E121" s="1119"/>
      <c r="F121" s="1119"/>
      <c r="G121" s="1119"/>
      <c r="H121" s="1119"/>
    </row>
    <row r="122" spans="1:8" x14ac:dyDescent="0.25">
      <c r="A122" s="1608"/>
      <c r="B122" s="1609"/>
      <c r="C122" s="1610"/>
      <c r="D122" s="1119"/>
      <c r="E122" s="1119"/>
      <c r="F122" s="1119"/>
      <c r="G122" s="1119"/>
      <c r="H122" s="1119"/>
    </row>
    <row r="123" spans="1:8" x14ac:dyDescent="0.25">
      <c r="A123" s="1608"/>
      <c r="B123" s="1609"/>
      <c r="C123" s="1610"/>
      <c r="D123" s="1119"/>
      <c r="E123" s="1119"/>
      <c r="F123" s="1119"/>
      <c r="G123" s="1119"/>
      <c r="H123" s="1119"/>
    </row>
    <row r="124" spans="1:8" x14ac:dyDescent="0.25">
      <c r="A124" s="1608"/>
      <c r="B124" s="1609"/>
      <c r="C124" s="1610"/>
      <c r="D124" s="1119"/>
      <c r="E124" s="1119"/>
      <c r="F124" s="1119"/>
      <c r="G124" s="1119"/>
      <c r="H124" s="1119"/>
    </row>
    <row r="125" spans="1:8" x14ac:dyDescent="0.25">
      <c r="A125" s="1608"/>
      <c r="B125" s="1609"/>
      <c r="C125" s="1610"/>
      <c r="D125" s="1119"/>
      <c r="E125" s="1119"/>
      <c r="F125" s="1119"/>
      <c r="G125" s="1119"/>
      <c r="H125" s="1119"/>
    </row>
    <row r="126" spans="1:8" x14ac:dyDescent="0.25">
      <c r="A126" s="1608"/>
      <c r="B126" s="1609"/>
      <c r="C126" s="1610"/>
      <c r="D126" s="1119"/>
      <c r="E126" s="1119"/>
      <c r="F126" s="1119"/>
      <c r="G126" s="1119"/>
      <c r="H126" s="1119"/>
    </row>
    <row r="127" spans="1:8" x14ac:dyDescent="0.25">
      <c r="A127" s="1608"/>
      <c r="B127" s="1609"/>
      <c r="C127" s="1610"/>
      <c r="D127" s="1119"/>
      <c r="E127" s="1119"/>
      <c r="F127" s="1119"/>
      <c r="G127" s="1119"/>
      <c r="H127" s="1119"/>
    </row>
    <row r="128" spans="1:8" x14ac:dyDescent="0.25">
      <c r="A128" s="1608"/>
      <c r="B128" s="1609"/>
      <c r="C128" s="1610"/>
      <c r="D128" s="1119"/>
      <c r="E128" s="1119"/>
      <c r="F128" s="1119"/>
      <c r="G128" s="1119"/>
      <c r="H128" s="1119"/>
    </row>
    <row r="129" spans="1:8" x14ac:dyDescent="0.25">
      <c r="A129" s="1608"/>
      <c r="B129" s="1609"/>
      <c r="C129" s="1610"/>
      <c r="D129" s="1119"/>
      <c r="E129" s="1119"/>
      <c r="F129" s="1119"/>
      <c r="G129" s="1119"/>
      <c r="H129" s="1119"/>
    </row>
    <row r="130" spans="1:8" x14ac:dyDescent="0.25">
      <c r="A130" s="1608"/>
      <c r="B130" s="1609"/>
      <c r="C130" s="1610"/>
      <c r="D130" s="1119"/>
      <c r="E130" s="1119"/>
      <c r="F130" s="1119"/>
      <c r="G130" s="1119"/>
      <c r="H130" s="1119"/>
    </row>
    <row r="131" spans="1:8" x14ac:dyDescent="0.25">
      <c r="A131" s="1608"/>
      <c r="B131" s="1609"/>
      <c r="C131" s="1610"/>
      <c r="D131" s="1119"/>
      <c r="E131" s="1119"/>
      <c r="F131" s="1119"/>
      <c r="G131" s="1119"/>
      <c r="H131" s="1119"/>
    </row>
    <row r="132" spans="1:8" x14ac:dyDescent="0.25">
      <c r="A132" s="1608"/>
      <c r="B132" s="1609"/>
      <c r="C132" s="1610"/>
      <c r="D132" s="1119"/>
      <c r="E132" s="1119"/>
      <c r="F132" s="1119"/>
      <c r="G132" s="1119"/>
      <c r="H132" s="1119"/>
    </row>
    <row r="133" spans="1:8" x14ac:dyDescent="0.25">
      <c r="A133" s="1608"/>
      <c r="B133" s="1609"/>
      <c r="C133" s="1610"/>
      <c r="D133" s="1119"/>
      <c r="E133" s="1119"/>
      <c r="F133" s="1119"/>
      <c r="G133" s="1119"/>
      <c r="H133" s="1119"/>
    </row>
    <row r="134" spans="1:8" x14ac:dyDescent="0.25">
      <c r="A134" s="1608"/>
      <c r="B134" s="1609"/>
      <c r="C134" s="1610"/>
      <c r="D134" s="1119"/>
      <c r="E134" s="1119"/>
      <c r="F134" s="1119"/>
      <c r="G134" s="1119"/>
      <c r="H134" s="1119"/>
    </row>
    <row r="135" spans="1:8" x14ac:dyDescent="0.25">
      <c r="A135" s="1608"/>
      <c r="B135" s="1609"/>
      <c r="C135" s="1610"/>
      <c r="D135" s="1119"/>
      <c r="E135" s="1119"/>
      <c r="F135" s="1119"/>
      <c r="G135" s="1119"/>
      <c r="H135" s="1119"/>
    </row>
    <row r="136" spans="1:8" x14ac:dyDescent="0.25">
      <c r="A136" s="1608"/>
      <c r="B136" s="1609"/>
      <c r="C136" s="1610"/>
      <c r="D136" s="1119"/>
      <c r="E136" s="1119"/>
      <c r="F136" s="1119"/>
      <c r="G136" s="1119"/>
      <c r="H136" s="1119"/>
    </row>
    <row r="137" spans="1:8" x14ac:dyDescent="0.25">
      <c r="A137" s="1608"/>
      <c r="B137" s="1609"/>
      <c r="C137" s="1610"/>
      <c r="D137" s="1119"/>
      <c r="E137" s="1119"/>
      <c r="F137" s="1119"/>
      <c r="G137" s="1119"/>
      <c r="H137" s="1119"/>
    </row>
    <row r="138" spans="1:8" x14ac:dyDescent="0.25">
      <c r="A138" s="1608"/>
      <c r="B138" s="1609"/>
      <c r="C138" s="1610"/>
      <c r="D138" s="1119"/>
      <c r="E138" s="1119"/>
      <c r="F138" s="1119"/>
      <c r="G138" s="1119"/>
      <c r="H138" s="1119"/>
    </row>
    <row r="139" spans="1:8" x14ac:dyDescent="0.25">
      <c r="A139" s="1608"/>
      <c r="B139" s="1609"/>
      <c r="C139" s="1610"/>
      <c r="D139" s="1119"/>
      <c r="E139" s="1119"/>
      <c r="F139" s="1119"/>
      <c r="G139" s="1119"/>
      <c r="H139" s="1119"/>
    </row>
    <row r="140" spans="1:8" x14ac:dyDescent="0.25">
      <c r="A140" s="1608"/>
      <c r="B140" s="1609"/>
      <c r="C140" s="1610"/>
      <c r="D140" s="1119"/>
      <c r="E140" s="1119"/>
      <c r="F140" s="1119"/>
      <c r="G140" s="1119"/>
      <c r="H140" s="1119"/>
    </row>
    <row r="141" spans="1:8" x14ac:dyDescent="0.25">
      <c r="A141" s="1608"/>
      <c r="B141" s="1609"/>
      <c r="C141" s="1610"/>
      <c r="D141" s="1119"/>
      <c r="E141" s="1119"/>
      <c r="F141" s="1119"/>
      <c r="G141" s="1119"/>
      <c r="H141" s="1119"/>
    </row>
    <row r="142" spans="1:8" x14ac:dyDescent="0.25">
      <c r="A142" s="1608"/>
      <c r="B142" s="1609"/>
      <c r="C142" s="1610"/>
      <c r="D142" s="1119"/>
      <c r="E142" s="1119"/>
      <c r="F142" s="1119"/>
      <c r="G142" s="1119"/>
      <c r="H142" s="1119"/>
    </row>
    <row r="143" spans="1:8" x14ac:dyDescent="0.25">
      <c r="A143" s="1608"/>
      <c r="B143" s="1609"/>
      <c r="C143" s="1610"/>
      <c r="D143" s="1119"/>
      <c r="E143" s="1119"/>
      <c r="F143" s="1119"/>
      <c r="G143" s="1119"/>
      <c r="H143" s="1119"/>
    </row>
    <row r="144" spans="1:8" x14ac:dyDescent="0.25">
      <c r="A144" s="1608"/>
      <c r="B144" s="1609"/>
      <c r="C144" s="1610"/>
      <c r="D144" s="1119"/>
      <c r="E144" s="1119"/>
      <c r="F144" s="1119"/>
      <c r="G144" s="1119"/>
      <c r="H144" s="1119"/>
    </row>
    <row r="145" spans="1:8" x14ac:dyDescent="0.25">
      <c r="A145" s="1608"/>
      <c r="B145" s="1609"/>
      <c r="C145" s="1610"/>
      <c r="D145" s="1119"/>
      <c r="E145" s="1119"/>
      <c r="F145" s="1119"/>
      <c r="G145" s="1119"/>
      <c r="H145" s="1119"/>
    </row>
    <row r="146" spans="1:8" x14ac:dyDescent="0.25">
      <c r="A146" s="1608"/>
      <c r="B146" s="1609"/>
      <c r="C146" s="1610"/>
      <c r="D146" s="1119"/>
      <c r="E146" s="1119"/>
      <c r="F146" s="1119"/>
      <c r="G146" s="1119"/>
      <c r="H146" s="1119"/>
    </row>
    <row r="147" spans="1:8" x14ac:dyDescent="0.25">
      <c r="A147" s="1608"/>
      <c r="B147" s="1609"/>
      <c r="C147" s="1610"/>
      <c r="D147" s="1119"/>
      <c r="E147" s="1119"/>
      <c r="F147" s="1119"/>
      <c r="G147" s="1119"/>
      <c r="H147" s="1119"/>
    </row>
    <row r="148" spans="1:8" x14ac:dyDescent="0.25">
      <c r="A148" s="1608"/>
      <c r="B148" s="1609"/>
      <c r="C148" s="1610"/>
      <c r="D148" s="1119"/>
      <c r="E148" s="1119"/>
      <c r="F148" s="1119"/>
      <c r="G148" s="1119"/>
      <c r="H148" s="1119"/>
    </row>
    <row r="149" spans="1:8" x14ac:dyDescent="0.25">
      <c r="A149" s="1608"/>
      <c r="B149" s="1609"/>
      <c r="C149" s="1610"/>
      <c r="D149" s="1119"/>
      <c r="E149" s="1119"/>
      <c r="F149" s="1119"/>
      <c r="G149" s="1119"/>
      <c r="H149" s="1119"/>
    </row>
    <row r="150" spans="1:8" x14ac:dyDescent="0.25">
      <c r="A150" s="1608"/>
      <c r="B150" s="1609"/>
      <c r="C150" s="1610"/>
      <c r="D150" s="1119"/>
      <c r="E150" s="1119"/>
      <c r="F150" s="1119"/>
      <c r="G150" s="1119"/>
      <c r="H150" s="1119"/>
    </row>
    <row r="151" spans="1:8" x14ac:dyDescent="0.25">
      <c r="A151" s="1608"/>
      <c r="B151" s="1609"/>
      <c r="C151" s="1610"/>
      <c r="D151" s="1119"/>
      <c r="E151" s="1119"/>
      <c r="F151" s="1119"/>
      <c r="G151" s="1119"/>
      <c r="H151" s="1119"/>
    </row>
    <row r="152" spans="1:8" x14ac:dyDescent="0.25">
      <c r="A152" s="1608"/>
      <c r="B152" s="1609"/>
      <c r="C152" s="1610"/>
      <c r="D152" s="1119"/>
      <c r="E152" s="1119"/>
      <c r="F152" s="1119"/>
      <c r="G152" s="1119"/>
      <c r="H152" s="1119"/>
    </row>
    <row r="153" spans="1:8" x14ac:dyDescent="0.25">
      <c r="A153" s="1608"/>
      <c r="B153" s="1609"/>
      <c r="C153" s="1610"/>
      <c r="D153" s="1119"/>
      <c r="E153" s="1119"/>
      <c r="F153" s="1119"/>
      <c r="G153" s="1119"/>
      <c r="H153" s="1119"/>
    </row>
    <row r="154" spans="1:8" x14ac:dyDescent="0.25">
      <c r="A154" s="1608"/>
      <c r="B154" s="1609"/>
      <c r="C154" s="1610"/>
      <c r="D154" s="1119"/>
      <c r="E154" s="1119"/>
      <c r="F154" s="1119"/>
      <c r="G154" s="1119"/>
      <c r="H154" s="1119"/>
    </row>
    <row r="155" spans="1:8" x14ac:dyDescent="0.25">
      <c r="A155" s="1608"/>
      <c r="B155" s="1609"/>
      <c r="C155" s="1610"/>
      <c r="D155" s="1119"/>
      <c r="E155" s="1119"/>
      <c r="F155" s="1119"/>
      <c r="G155" s="1119"/>
      <c r="H155" s="1119"/>
    </row>
    <row r="156" spans="1:8" x14ac:dyDescent="0.25">
      <c r="A156" s="1608"/>
      <c r="B156" s="1609"/>
      <c r="C156" s="1610"/>
      <c r="D156" s="1119"/>
      <c r="E156" s="1119"/>
      <c r="F156" s="1119"/>
      <c r="G156" s="1119"/>
      <c r="H156" s="1119"/>
    </row>
    <row r="157" spans="1:8" x14ac:dyDescent="0.25">
      <c r="A157" s="1608"/>
      <c r="B157" s="1609"/>
      <c r="C157" s="1610"/>
      <c r="D157" s="1119"/>
      <c r="E157" s="1119"/>
      <c r="F157" s="1119"/>
      <c r="G157" s="1119"/>
      <c r="H157" s="1119"/>
    </row>
    <row r="158" spans="1:8" x14ac:dyDescent="0.25">
      <c r="A158" s="1608"/>
      <c r="B158" s="1609"/>
      <c r="C158" s="1610"/>
      <c r="D158" s="1119"/>
      <c r="E158" s="1119"/>
      <c r="F158" s="1119"/>
      <c r="G158" s="1119"/>
      <c r="H158" s="1119"/>
    </row>
    <row r="159" spans="1:8" x14ac:dyDescent="0.25">
      <c r="A159" s="1608"/>
      <c r="B159" s="1609"/>
      <c r="C159" s="1610"/>
      <c r="D159" s="1119"/>
      <c r="E159" s="1119"/>
      <c r="F159" s="1119"/>
      <c r="G159" s="1119"/>
      <c r="H159" s="1119"/>
    </row>
    <row r="160" spans="1:8" x14ac:dyDescent="0.25">
      <c r="A160" s="1608"/>
      <c r="B160" s="1609"/>
      <c r="C160" s="1610"/>
      <c r="D160" s="1119"/>
      <c r="E160" s="1119"/>
      <c r="F160" s="1119"/>
      <c r="G160" s="1119"/>
      <c r="H160" s="1119"/>
    </row>
    <row r="161" spans="1:8" x14ac:dyDescent="0.25">
      <c r="A161" s="1608"/>
      <c r="B161" s="1609"/>
      <c r="C161" s="1610"/>
      <c r="D161" s="1119"/>
      <c r="E161" s="1119"/>
      <c r="F161" s="1119"/>
      <c r="G161" s="1119"/>
      <c r="H161" s="1119"/>
    </row>
    <row r="162" spans="1:8" x14ac:dyDescent="0.25">
      <c r="A162" s="1608"/>
      <c r="B162" s="1609"/>
      <c r="C162" s="1610"/>
      <c r="D162" s="1119"/>
      <c r="E162" s="1119"/>
      <c r="F162" s="1119"/>
      <c r="G162" s="1119"/>
      <c r="H162" s="1119"/>
    </row>
    <row r="163" spans="1:8" x14ac:dyDescent="0.25">
      <c r="A163" s="1608"/>
      <c r="B163" s="1609"/>
      <c r="C163" s="1610"/>
      <c r="D163" s="1119"/>
      <c r="E163" s="1119"/>
      <c r="F163" s="1119"/>
      <c r="G163" s="1119"/>
      <c r="H163" s="1119"/>
    </row>
    <row r="164" spans="1:8" x14ac:dyDescent="0.25">
      <c r="A164" s="1608"/>
      <c r="B164" s="1609"/>
      <c r="C164" s="1610"/>
      <c r="D164" s="1119"/>
      <c r="E164" s="1119"/>
      <c r="F164" s="1119"/>
      <c r="G164" s="1119"/>
      <c r="H164" s="1119"/>
    </row>
    <row r="165" spans="1:8" x14ac:dyDescent="0.25">
      <c r="A165" s="1608"/>
      <c r="B165" s="1609"/>
      <c r="C165" s="1610"/>
      <c r="D165" s="1119"/>
      <c r="E165" s="1119"/>
      <c r="F165" s="1119"/>
      <c r="G165" s="1119"/>
      <c r="H165" s="1119"/>
    </row>
    <row r="166" spans="1:8" x14ac:dyDescent="0.25">
      <c r="A166" s="1608"/>
      <c r="B166" s="1609"/>
      <c r="C166" s="1610"/>
      <c r="D166" s="1119"/>
      <c r="E166" s="1119"/>
      <c r="F166" s="1119"/>
      <c r="G166" s="1119"/>
      <c r="H166" s="1119"/>
    </row>
    <row r="167" spans="1:8" x14ac:dyDescent="0.25">
      <c r="A167" s="1608"/>
      <c r="B167" s="1609"/>
      <c r="C167" s="1610"/>
      <c r="D167" s="1119"/>
      <c r="E167" s="1119"/>
      <c r="F167" s="1119"/>
      <c r="G167" s="1119"/>
      <c r="H167" s="1119"/>
    </row>
    <row r="168" spans="1:8" x14ac:dyDescent="0.25">
      <c r="A168" s="1608"/>
      <c r="B168" s="1609"/>
      <c r="C168" s="1610"/>
      <c r="D168" s="1119"/>
      <c r="E168" s="1119"/>
      <c r="F168" s="1119"/>
      <c r="G168" s="1119"/>
      <c r="H168" s="1119"/>
    </row>
    <row r="169" spans="1:8" x14ac:dyDescent="0.25">
      <c r="A169" s="1608"/>
      <c r="B169" s="1609"/>
      <c r="C169" s="1610"/>
      <c r="D169" s="1119"/>
      <c r="E169" s="1119"/>
      <c r="F169" s="1119"/>
      <c r="G169" s="1119"/>
      <c r="H169" s="1119"/>
    </row>
    <row r="170" spans="1:8" x14ac:dyDescent="0.25">
      <c r="A170" s="1608"/>
      <c r="B170" s="1609"/>
      <c r="C170" s="1610"/>
      <c r="D170" s="1119"/>
      <c r="E170" s="1119"/>
      <c r="F170" s="1119"/>
      <c r="G170" s="1119"/>
      <c r="H170" s="1119"/>
    </row>
    <row r="171" spans="1:8" x14ac:dyDescent="0.25">
      <c r="A171" s="1608"/>
      <c r="B171" s="1609"/>
      <c r="C171" s="1610"/>
      <c r="D171" s="1119"/>
      <c r="E171" s="1119"/>
      <c r="F171" s="1119"/>
      <c r="G171" s="1119"/>
      <c r="H171" s="1119"/>
    </row>
    <row r="172" spans="1:8" x14ac:dyDescent="0.25">
      <c r="A172" s="1608"/>
      <c r="B172" s="1609"/>
      <c r="C172" s="1610"/>
      <c r="D172" s="1119"/>
      <c r="E172" s="1119"/>
      <c r="F172" s="1119"/>
      <c r="G172" s="1119"/>
      <c r="H172" s="1119"/>
    </row>
    <row r="173" spans="1:8" x14ac:dyDescent="0.25">
      <c r="A173" s="1608"/>
      <c r="B173" s="1609"/>
      <c r="C173" s="1610"/>
      <c r="D173" s="1119"/>
      <c r="E173" s="1119"/>
      <c r="F173" s="1119"/>
      <c r="G173" s="1119"/>
      <c r="H173" s="1119"/>
    </row>
    <row r="174" spans="1:8" x14ac:dyDescent="0.25">
      <c r="A174" s="1119"/>
      <c r="B174" s="1119"/>
      <c r="C174" s="1610"/>
      <c r="D174" s="1119"/>
      <c r="E174" s="1119"/>
      <c r="F174" s="1119"/>
      <c r="G174" s="1119"/>
      <c r="H174" s="1119"/>
    </row>
    <row r="175" spans="1:8" x14ac:dyDescent="0.25">
      <c r="A175" s="1119"/>
      <c r="B175" s="1119"/>
      <c r="C175" s="1119"/>
      <c r="D175" s="1119"/>
      <c r="E175" s="1119"/>
      <c r="F175" s="1119"/>
      <c r="G175" s="1119"/>
      <c r="H175" s="1119"/>
    </row>
    <row r="176" spans="1:8" x14ac:dyDescent="0.25">
      <c r="A176" s="1119"/>
      <c r="B176" s="1119"/>
      <c r="C176" s="1119"/>
      <c r="D176" s="1119"/>
      <c r="E176" s="1119"/>
      <c r="F176" s="1119"/>
      <c r="G176" s="1119"/>
      <c r="H176" s="1119"/>
    </row>
    <row r="177" spans="1:8" x14ac:dyDescent="0.25">
      <c r="A177" s="1119"/>
      <c r="B177" s="1119"/>
      <c r="C177" s="1119"/>
      <c r="D177" s="1119"/>
      <c r="E177" s="1119"/>
      <c r="F177" s="1119"/>
      <c r="G177" s="1119"/>
      <c r="H177" s="1119"/>
    </row>
    <row r="178" spans="1:8" x14ac:dyDescent="0.25">
      <c r="A178" s="1119"/>
      <c r="B178" s="1119"/>
      <c r="C178" s="1119"/>
      <c r="D178" s="1119"/>
      <c r="E178" s="1119"/>
      <c r="F178" s="1119"/>
      <c r="G178" s="1119"/>
      <c r="H178" s="1119"/>
    </row>
    <row r="179" spans="1:8" x14ac:dyDescent="0.25">
      <c r="A179" s="1119"/>
      <c r="B179" s="1119"/>
      <c r="C179" s="1119"/>
      <c r="D179" s="1119"/>
      <c r="E179" s="1119"/>
      <c r="F179" s="1119"/>
      <c r="G179" s="1119"/>
      <c r="H179" s="1119"/>
    </row>
    <row r="180" spans="1:8" x14ac:dyDescent="0.25">
      <c r="A180" s="1119"/>
      <c r="B180" s="1119"/>
      <c r="C180" s="1119"/>
      <c r="D180" s="1119"/>
      <c r="E180" s="1119"/>
      <c r="F180" s="1119"/>
      <c r="G180" s="1119"/>
      <c r="H180" s="1119"/>
    </row>
    <row r="181" spans="1:8" x14ac:dyDescent="0.25">
      <c r="A181" s="1119"/>
      <c r="B181" s="1119"/>
      <c r="C181" s="1119"/>
      <c r="D181" s="1119"/>
      <c r="E181" s="1119"/>
      <c r="F181" s="1119"/>
      <c r="G181" s="1119"/>
      <c r="H181" s="1119"/>
    </row>
    <row r="182" spans="1:8" x14ac:dyDescent="0.25">
      <c r="A182" s="1119"/>
      <c r="B182" s="1119"/>
      <c r="C182" s="1119"/>
      <c r="D182" s="1119"/>
      <c r="E182" s="1119"/>
      <c r="F182" s="1119"/>
      <c r="G182" s="1119"/>
      <c r="H182" s="1119"/>
    </row>
    <row r="183" spans="1:8" x14ac:dyDescent="0.25">
      <c r="A183" s="1119"/>
      <c r="B183" s="1119"/>
      <c r="C183" s="1119"/>
      <c r="D183" s="1119"/>
      <c r="E183" s="1119"/>
      <c r="F183" s="1119"/>
      <c r="G183" s="1119"/>
      <c r="H183" s="1119"/>
    </row>
    <row r="184" spans="1:8" x14ac:dyDescent="0.25">
      <c r="A184" s="1119"/>
      <c r="B184" s="1119"/>
      <c r="C184" s="1119"/>
      <c r="D184" s="1119"/>
      <c r="E184" s="1119"/>
      <c r="F184" s="1119"/>
      <c r="G184" s="1119"/>
      <c r="H184" s="1119"/>
    </row>
    <row r="185" spans="1:8" x14ac:dyDescent="0.25">
      <c r="A185" s="1119"/>
      <c r="B185" s="1119"/>
      <c r="C185" s="1119"/>
      <c r="D185" s="1119"/>
      <c r="E185" s="1119"/>
      <c r="F185" s="1119"/>
      <c r="G185" s="1119"/>
      <c r="H185" s="1119"/>
    </row>
    <row r="186" spans="1:8" x14ac:dyDescent="0.25">
      <c r="A186" s="1119"/>
      <c r="B186" s="1119"/>
      <c r="C186" s="1119"/>
      <c r="D186" s="1119"/>
      <c r="E186" s="1119"/>
      <c r="F186" s="1119"/>
      <c r="G186" s="1119"/>
      <c r="H186" s="1119"/>
    </row>
    <row r="187" spans="1:8" x14ac:dyDescent="0.25">
      <c r="A187" s="1119"/>
      <c r="B187" s="1119"/>
      <c r="C187" s="1119"/>
      <c r="D187" s="1119"/>
      <c r="E187" s="1119"/>
      <c r="F187" s="1119"/>
      <c r="G187" s="1119"/>
      <c r="H187" s="1119"/>
    </row>
    <row r="188" spans="1:8" x14ac:dyDescent="0.25">
      <c r="A188" s="1119"/>
      <c r="B188" s="1119"/>
      <c r="C188" s="1119"/>
      <c r="D188" s="1119"/>
      <c r="E188" s="1119"/>
      <c r="F188" s="1119"/>
      <c r="G188" s="1119"/>
      <c r="H188" s="1119"/>
    </row>
    <row r="189" spans="1:8" x14ac:dyDescent="0.25">
      <c r="A189" s="1119"/>
      <c r="B189" s="1119"/>
      <c r="C189" s="1119"/>
      <c r="D189" s="1119"/>
      <c r="E189" s="1119"/>
      <c r="F189" s="1119"/>
      <c r="G189" s="1119"/>
      <c r="H189" s="1119"/>
    </row>
    <row r="190" spans="1:8" x14ac:dyDescent="0.25">
      <c r="A190" s="1119"/>
      <c r="B190" s="1119"/>
      <c r="C190" s="1119"/>
      <c r="D190" s="1119"/>
      <c r="E190" s="1119"/>
      <c r="F190" s="1119"/>
      <c r="G190" s="1119"/>
      <c r="H190" s="1119"/>
    </row>
    <row r="191" spans="1:8" x14ac:dyDescent="0.25">
      <c r="A191" s="1119"/>
      <c r="B191" s="1119"/>
      <c r="C191" s="1119"/>
      <c r="D191" s="1119"/>
      <c r="E191" s="1119"/>
      <c r="F191" s="1119"/>
      <c r="G191" s="1119"/>
      <c r="H191" s="1119"/>
    </row>
    <row r="192" spans="1:8" x14ac:dyDescent="0.25">
      <c r="A192" s="1119"/>
      <c r="B192" s="1119"/>
      <c r="C192" s="1119"/>
      <c r="D192" s="1119"/>
      <c r="E192" s="1119"/>
      <c r="F192" s="1119"/>
      <c r="G192" s="1119"/>
      <c r="H192" s="1119"/>
    </row>
    <row r="193" spans="1:8" x14ac:dyDescent="0.25">
      <c r="A193" s="1119"/>
      <c r="B193" s="1119"/>
      <c r="C193" s="1119"/>
      <c r="D193" s="1119"/>
      <c r="E193" s="1119"/>
      <c r="F193" s="1119"/>
      <c r="G193" s="1119"/>
      <c r="H193" s="1119"/>
    </row>
    <row r="194" spans="1:8" x14ac:dyDescent="0.25">
      <c r="A194" s="1119"/>
      <c r="B194" s="1119"/>
      <c r="C194" s="1119"/>
      <c r="D194" s="1119"/>
      <c r="E194" s="1119"/>
      <c r="F194" s="1119"/>
      <c r="G194" s="1119"/>
      <c r="H194" s="1119"/>
    </row>
    <row r="195" spans="1:8" x14ac:dyDescent="0.25">
      <c r="A195" s="1119"/>
      <c r="B195" s="1119"/>
      <c r="C195" s="1119"/>
      <c r="D195" s="1119"/>
      <c r="E195" s="1119"/>
      <c r="F195" s="1119"/>
      <c r="G195" s="1119"/>
      <c r="H195" s="1119"/>
    </row>
    <row r="196" spans="1:8" x14ac:dyDescent="0.25">
      <c r="A196" s="1119"/>
      <c r="B196" s="1119"/>
      <c r="C196" s="1119"/>
      <c r="D196" s="1119"/>
      <c r="E196" s="1119"/>
      <c r="F196" s="1119"/>
      <c r="G196" s="1119"/>
      <c r="H196" s="1119"/>
    </row>
    <row r="197" spans="1:8" x14ac:dyDescent="0.25">
      <c r="A197" s="1119"/>
      <c r="B197" s="1119"/>
      <c r="C197" s="1119"/>
      <c r="D197" s="1119"/>
      <c r="E197" s="1119"/>
      <c r="F197" s="1119"/>
      <c r="G197" s="1119"/>
      <c r="H197" s="1119"/>
    </row>
    <row r="198" spans="1:8" x14ac:dyDescent="0.25">
      <c r="A198" s="1119"/>
      <c r="B198" s="1119"/>
      <c r="C198" s="1119"/>
      <c r="D198" s="1119"/>
      <c r="E198" s="1119"/>
      <c r="F198" s="1119"/>
      <c r="G198" s="1119"/>
      <c r="H198" s="1119"/>
    </row>
    <row r="199" spans="1:8" x14ac:dyDescent="0.25">
      <c r="A199" s="1119"/>
      <c r="B199" s="1119"/>
      <c r="C199" s="1119"/>
      <c r="D199" s="1119"/>
      <c r="E199" s="1119"/>
      <c r="F199" s="1119"/>
      <c r="G199" s="1119"/>
      <c r="H199" s="1119"/>
    </row>
    <row r="200" spans="1:8" x14ac:dyDescent="0.25">
      <c r="A200" s="1119"/>
      <c r="B200" s="1119"/>
      <c r="C200" s="1119"/>
      <c r="D200" s="1119"/>
      <c r="E200" s="1119"/>
      <c r="F200" s="1119"/>
      <c r="G200" s="1119"/>
      <c r="H200" s="1119"/>
    </row>
    <row r="201" spans="1:8" x14ac:dyDescent="0.25">
      <c r="A201" s="1119"/>
      <c r="B201" s="1119"/>
      <c r="C201" s="1119"/>
      <c r="D201" s="1119"/>
      <c r="E201" s="1119"/>
      <c r="F201" s="1119"/>
      <c r="G201" s="1119"/>
      <c r="H201" s="1119"/>
    </row>
    <row r="202" spans="1:8" x14ac:dyDescent="0.25">
      <c r="A202" s="1119"/>
      <c r="B202" s="1119"/>
      <c r="C202" s="1119"/>
      <c r="D202" s="1119"/>
      <c r="E202" s="1119"/>
      <c r="F202" s="1119"/>
      <c r="G202" s="1119"/>
      <c r="H202" s="1119"/>
    </row>
    <row r="203" spans="1:8" x14ac:dyDescent="0.25">
      <c r="A203" s="1119"/>
      <c r="B203" s="1119"/>
      <c r="C203" s="1119"/>
      <c r="D203" s="1119"/>
      <c r="E203" s="1119"/>
      <c r="F203" s="1119"/>
      <c r="G203" s="1119"/>
      <c r="H203" s="1119"/>
    </row>
    <row r="204" spans="1:8" x14ac:dyDescent="0.25">
      <c r="A204" s="1119"/>
      <c r="B204" s="1119"/>
      <c r="C204" s="1119"/>
      <c r="D204" s="1119"/>
      <c r="E204" s="1119"/>
      <c r="F204" s="1119"/>
      <c r="G204" s="1119"/>
      <c r="H204" s="1119"/>
    </row>
    <row r="205" spans="1:8" x14ac:dyDescent="0.25">
      <c r="A205" s="1119"/>
      <c r="B205" s="1119"/>
      <c r="C205" s="1119"/>
      <c r="D205" s="1119"/>
      <c r="E205" s="1119"/>
      <c r="F205" s="1119"/>
      <c r="G205" s="1119"/>
      <c r="H205" s="1119"/>
    </row>
    <row r="206" spans="1:8" x14ac:dyDescent="0.25">
      <c r="A206" s="1119"/>
      <c r="B206" s="1119"/>
      <c r="C206" s="1119"/>
      <c r="D206" s="1119"/>
      <c r="E206" s="1119"/>
      <c r="F206" s="1119"/>
      <c r="G206" s="1119"/>
      <c r="H206" s="1119"/>
    </row>
    <row r="207" spans="1:8" x14ac:dyDescent="0.25">
      <c r="A207" s="1119"/>
      <c r="B207" s="1119"/>
      <c r="C207" s="1119"/>
      <c r="D207" s="1119"/>
      <c r="E207" s="1119"/>
      <c r="F207" s="1119"/>
      <c r="G207" s="1119"/>
      <c r="H207" s="1119"/>
    </row>
    <row r="208" spans="1:8" x14ac:dyDescent="0.25">
      <c r="A208" s="1119"/>
      <c r="B208" s="1119"/>
      <c r="C208" s="1119"/>
      <c r="D208" s="1119"/>
      <c r="E208" s="1119"/>
      <c r="F208" s="1119"/>
      <c r="G208" s="1119"/>
      <c r="H208" s="1119"/>
    </row>
    <row r="209" spans="1:8" x14ac:dyDescent="0.25">
      <c r="A209" s="1119"/>
      <c r="B209" s="1119"/>
      <c r="C209" s="1119"/>
      <c r="D209" s="1119"/>
      <c r="E209" s="1119"/>
      <c r="F209" s="1119"/>
      <c r="G209" s="1119"/>
      <c r="H209" s="1119"/>
    </row>
    <row r="210" spans="1:8" ht="29.25" customHeight="1" x14ac:dyDescent="0.25">
      <c r="A210" s="1119"/>
      <c r="B210" s="1119"/>
      <c r="C210" s="1119"/>
      <c r="D210" s="1119"/>
      <c r="E210" s="1119"/>
      <c r="F210" s="1119"/>
      <c r="G210" s="1119"/>
      <c r="H210" s="1119"/>
    </row>
    <row r="211" spans="1:8" ht="25.5" customHeight="1" x14ac:dyDescent="0.25">
      <c r="A211" s="1119"/>
      <c r="B211" s="1119"/>
      <c r="C211" s="1119"/>
      <c r="D211" s="1119"/>
      <c r="E211" s="1119"/>
      <c r="F211" s="1119"/>
      <c r="G211" s="1119"/>
      <c r="H211" s="1119"/>
    </row>
    <row r="212" spans="1:8" x14ac:dyDescent="0.25">
      <c r="A212" s="1119"/>
      <c r="B212" s="1119"/>
      <c r="C212" s="1119"/>
      <c r="D212" s="1119"/>
      <c r="E212" s="1119"/>
      <c r="F212" s="1119"/>
      <c r="G212" s="1119"/>
      <c r="H212" s="1119"/>
    </row>
    <row r="213" spans="1:8" x14ac:dyDescent="0.25">
      <c r="A213" s="1119"/>
      <c r="B213" s="1119"/>
      <c r="C213" s="1119"/>
      <c r="D213" s="1119"/>
      <c r="E213" s="1119"/>
      <c r="F213" s="1119"/>
      <c r="G213" s="1119"/>
      <c r="H213" s="1119"/>
    </row>
    <row r="214" spans="1:8" x14ac:dyDescent="0.25">
      <c r="A214" s="1119"/>
      <c r="B214" s="1119"/>
      <c r="C214" s="1119"/>
      <c r="D214" s="1119"/>
      <c r="E214" s="1119"/>
      <c r="F214" s="1119"/>
      <c r="G214" s="1119"/>
      <c r="H214" s="1119"/>
    </row>
    <row r="215" spans="1:8" x14ac:dyDescent="0.25">
      <c r="A215" s="1119"/>
      <c r="B215" s="1119"/>
      <c r="C215" s="1119"/>
      <c r="D215" s="1119"/>
      <c r="E215" s="1119"/>
      <c r="F215" s="1119"/>
      <c r="G215" s="1119"/>
      <c r="H215" s="1119"/>
    </row>
    <row r="216" spans="1:8" x14ac:dyDescent="0.25">
      <c r="A216" s="1119"/>
      <c r="B216" s="1119"/>
      <c r="C216" s="1119"/>
      <c r="D216" s="1119"/>
      <c r="E216" s="1119"/>
      <c r="F216" s="1119"/>
      <c r="G216" s="1119"/>
      <c r="H216" s="1119"/>
    </row>
    <row r="217" spans="1:8" x14ac:dyDescent="0.25">
      <c r="A217" s="1119"/>
      <c r="B217" s="1119"/>
      <c r="C217" s="1119"/>
      <c r="D217" s="1119"/>
      <c r="E217" s="1119"/>
      <c r="F217" s="1119"/>
      <c r="G217" s="1119"/>
      <c r="H217" s="1119"/>
    </row>
    <row r="218" spans="1:8" x14ac:dyDescent="0.25">
      <c r="A218" s="1119"/>
      <c r="B218" s="1119"/>
      <c r="C218" s="1119"/>
      <c r="D218" s="1119"/>
      <c r="E218" s="1119"/>
      <c r="F218" s="1119"/>
      <c r="G218" s="1119"/>
      <c r="H218" s="1119"/>
    </row>
    <row r="219" spans="1:8" x14ac:dyDescent="0.25">
      <c r="A219" s="1119"/>
      <c r="B219" s="1119"/>
      <c r="C219" s="1119"/>
      <c r="D219" s="1119"/>
      <c r="E219" s="1119"/>
      <c r="F219" s="1119"/>
      <c r="G219" s="1119"/>
      <c r="H219" s="1119"/>
    </row>
    <row r="220" spans="1:8" x14ac:dyDescent="0.25">
      <c r="A220" s="1119"/>
      <c r="B220" s="1119"/>
      <c r="C220" s="1119"/>
      <c r="D220" s="1119"/>
      <c r="E220" s="1119"/>
      <c r="F220" s="1119"/>
      <c r="G220" s="1119"/>
      <c r="H220" s="1119"/>
    </row>
    <row r="221" spans="1:8" x14ac:dyDescent="0.25">
      <c r="A221" s="1119"/>
      <c r="B221" s="1119"/>
      <c r="C221" s="1119"/>
      <c r="D221" s="1119"/>
      <c r="E221" s="1119"/>
      <c r="F221" s="1119"/>
      <c r="G221" s="1119"/>
      <c r="H221" s="1119"/>
    </row>
    <row r="222" spans="1:8" x14ac:dyDescent="0.25">
      <c r="A222" s="1119"/>
      <c r="B222" s="1119"/>
      <c r="C222" s="1119"/>
      <c r="D222" s="1119"/>
      <c r="E222" s="1119"/>
      <c r="F222" s="1119"/>
      <c r="G222" s="1119"/>
      <c r="H222" s="1119"/>
    </row>
    <row r="223" spans="1:8" x14ac:dyDescent="0.25">
      <c r="A223" s="1119"/>
      <c r="B223" s="1119"/>
      <c r="C223" s="1119"/>
      <c r="D223" s="1119"/>
      <c r="E223" s="1119"/>
      <c r="F223" s="1119"/>
      <c r="G223" s="1119"/>
      <c r="H223" s="1119"/>
    </row>
    <row r="224" spans="1:8" x14ac:dyDescent="0.25">
      <c r="A224" s="1119"/>
      <c r="B224" s="1119"/>
      <c r="C224" s="1119"/>
      <c r="D224" s="1119"/>
      <c r="E224" s="1119"/>
      <c r="F224" s="1119"/>
      <c r="G224" s="1119"/>
      <c r="H224" s="1119"/>
    </row>
    <row r="225" spans="1:8" x14ac:dyDescent="0.25">
      <c r="A225" s="1119"/>
      <c r="B225" s="1119"/>
      <c r="C225" s="1119"/>
      <c r="D225" s="1119"/>
      <c r="E225" s="1119"/>
      <c r="F225" s="1119"/>
      <c r="G225" s="1119"/>
      <c r="H225" s="1119"/>
    </row>
    <row r="226" spans="1:8" x14ac:dyDescent="0.25">
      <c r="A226" s="1119"/>
      <c r="B226" s="1119"/>
      <c r="C226" s="1119"/>
      <c r="D226" s="1119"/>
      <c r="E226" s="1119"/>
      <c r="F226" s="1119"/>
      <c r="G226" s="1119"/>
      <c r="H226" s="1119"/>
    </row>
    <row r="227" spans="1:8" x14ac:dyDescent="0.25">
      <c r="A227" s="1119"/>
      <c r="B227" s="1119"/>
      <c r="C227" s="1119"/>
      <c r="D227" s="1119"/>
      <c r="E227" s="1119"/>
      <c r="F227" s="1119"/>
      <c r="G227" s="1119"/>
      <c r="H227" s="1119"/>
    </row>
    <row r="228" spans="1:8" x14ac:dyDescent="0.25">
      <c r="A228" s="1119"/>
      <c r="B228" s="1119"/>
      <c r="C228" s="1119"/>
      <c r="D228" s="1119"/>
      <c r="E228" s="1119"/>
      <c r="F228" s="1119"/>
      <c r="G228" s="1119"/>
      <c r="H228" s="1119"/>
    </row>
    <row r="229" spans="1:8" x14ac:dyDescent="0.25">
      <c r="A229" s="1119"/>
      <c r="B229" s="1119"/>
      <c r="C229" s="1119"/>
      <c r="D229" s="1119"/>
      <c r="E229" s="1119"/>
      <c r="F229" s="1119"/>
      <c r="G229" s="1119"/>
      <c r="H229" s="1119"/>
    </row>
    <row r="230" spans="1:8" x14ac:dyDescent="0.25">
      <c r="A230" s="1119"/>
      <c r="B230" s="1119"/>
      <c r="C230" s="1119"/>
      <c r="D230" s="1119"/>
      <c r="E230" s="1119"/>
      <c r="F230" s="1119"/>
      <c r="G230" s="1119"/>
      <c r="H230" s="1119"/>
    </row>
    <row r="231" spans="1:8" x14ac:dyDescent="0.25">
      <c r="A231" s="1119"/>
      <c r="B231" s="1119"/>
      <c r="C231" s="1119"/>
      <c r="D231" s="1119"/>
      <c r="E231" s="1119"/>
      <c r="F231" s="1119"/>
      <c r="G231" s="1119"/>
      <c r="H231" s="1119"/>
    </row>
    <row r="232" spans="1:8" x14ac:dyDescent="0.25">
      <c r="A232" s="1119"/>
      <c r="B232" s="1119"/>
      <c r="C232" s="1119"/>
      <c r="D232" s="1119"/>
      <c r="E232" s="1119"/>
      <c r="F232" s="1119"/>
      <c r="G232" s="1119"/>
      <c r="H232" s="1119"/>
    </row>
    <row r="233" spans="1:8" x14ac:dyDescent="0.25">
      <c r="A233" s="1119"/>
      <c r="B233" s="1119"/>
      <c r="C233" s="1119"/>
      <c r="D233" s="1119"/>
      <c r="E233" s="1119"/>
      <c r="F233" s="1119"/>
      <c r="G233" s="1119"/>
      <c r="H233" s="1119"/>
    </row>
    <row r="234" spans="1:8" x14ac:dyDescent="0.25">
      <c r="A234" s="1119"/>
      <c r="B234" s="1119"/>
      <c r="C234" s="1119"/>
      <c r="D234" s="1119"/>
      <c r="E234" s="1119"/>
      <c r="F234" s="1119"/>
      <c r="G234" s="1119"/>
      <c r="H234" s="1119"/>
    </row>
    <row r="235" spans="1:8" x14ac:dyDescent="0.25">
      <c r="A235" s="1119"/>
      <c r="B235" s="1119"/>
      <c r="C235" s="1119"/>
      <c r="D235" s="1119"/>
      <c r="E235" s="1119"/>
      <c r="F235" s="1119"/>
      <c r="G235" s="1119"/>
      <c r="H235" s="1119"/>
    </row>
    <row r="236" spans="1:8" x14ac:dyDescent="0.25">
      <c r="A236" s="1119"/>
      <c r="B236" s="1119"/>
      <c r="C236" s="1119"/>
      <c r="D236" s="1119"/>
      <c r="E236" s="1119"/>
      <c r="F236" s="1119"/>
      <c r="G236" s="1119"/>
      <c r="H236" s="1119"/>
    </row>
    <row r="237" spans="1:8" ht="16.5" customHeight="1" x14ac:dyDescent="0.25">
      <c r="A237" s="1119"/>
      <c r="B237" s="1119"/>
      <c r="C237" s="1119"/>
      <c r="D237" s="1119"/>
      <c r="E237" s="1119"/>
      <c r="F237" s="1119"/>
      <c r="G237" s="1119"/>
      <c r="H237" s="1119"/>
    </row>
    <row r="238" spans="1:8" x14ac:dyDescent="0.25">
      <c r="A238" s="1119"/>
      <c r="B238" s="1119"/>
      <c r="C238" s="1119"/>
      <c r="D238" s="1119"/>
      <c r="E238" s="1119"/>
      <c r="F238" s="1119"/>
      <c r="G238" s="1119"/>
      <c r="H238" s="1119"/>
    </row>
    <row r="239" spans="1:8" x14ac:dyDescent="0.25">
      <c r="A239" s="1119"/>
      <c r="B239" s="1119"/>
      <c r="C239" s="1119"/>
      <c r="D239" s="1119"/>
      <c r="E239" s="1119"/>
      <c r="F239" s="1119"/>
      <c r="G239" s="1119"/>
      <c r="H239" s="1119"/>
    </row>
    <row r="240" spans="1:8" x14ac:dyDescent="0.25">
      <c r="A240" s="1119"/>
      <c r="B240" s="1119"/>
      <c r="C240" s="1119"/>
      <c r="D240" s="1119"/>
      <c r="E240" s="1119"/>
      <c r="F240" s="1119"/>
      <c r="G240" s="1119"/>
      <c r="H240" s="1119"/>
    </row>
    <row r="241" spans="1:8" ht="218.25" customHeight="1" x14ac:dyDescent="0.25">
      <c r="A241" s="1119"/>
      <c r="B241" s="1119"/>
      <c r="C241" s="1119"/>
      <c r="D241" s="1119"/>
      <c r="E241" s="1119"/>
      <c r="F241" s="1119"/>
      <c r="G241" s="1119"/>
      <c r="H241" s="1119"/>
    </row>
    <row r="242" spans="1:8" ht="207" customHeight="1" x14ac:dyDescent="0.25">
      <c r="A242" s="1119"/>
      <c r="B242" s="1119"/>
      <c r="C242" s="1119"/>
      <c r="D242" s="1119"/>
      <c r="E242" s="1119"/>
      <c r="F242" s="1119"/>
      <c r="G242" s="1119"/>
      <c r="H242" s="1119"/>
    </row>
    <row r="243" spans="1:8" ht="371.25" customHeight="1" x14ac:dyDescent="0.25">
      <c r="A243" s="1119"/>
      <c r="B243" s="1119"/>
      <c r="C243" s="1119"/>
      <c r="D243" s="1119"/>
      <c r="E243" s="1119"/>
      <c r="F243" s="1119"/>
      <c r="G243" s="1119"/>
      <c r="H243" s="1119"/>
    </row>
    <row r="244" spans="1:8" ht="89.7" customHeight="1" x14ac:dyDescent="0.25">
      <c r="A244" s="1119"/>
      <c r="B244" s="1119"/>
      <c r="C244" s="1119"/>
      <c r="D244" s="1119"/>
      <c r="E244" s="1119"/>
      <c r="F244" s="1119"/>
      <c r="G244" s="1119"/>
      <c r="H244" s="1119"/>
    </row>
    <row r="245" spans="1:8" x14ac:dyDescent="0.25">
      <c r="A245" s="1119"/>
      <c r="B245" s="1119"/>
      <c r="C245" s="1119"/>
    </row>
    <row r="246" spans="1:8" x14ac:dyDescent="0.25">
      <c r="A246" s="1119"/>
      <c r="B246" s="1119"/>
      <c r="C246" s="1119"/>
    </row>
    <row r="247" spans="1:8" x14ac:dyDescent="0.25">
      <c r="A247" s="1119"/>
      <c r="B247" s="1119"/>
      <c r="C247" s="1119"/>
    </row>
    <row r="248" spans="1:8" x14ac:dyDescent="0.25">
      <c r="A248" s="1119"/>
      <c r="B248" s="1119"/>
      <c r="C248" s="1119"/>
    </row>
    <row r="249" spans="1:8" x14ac:dyDescent="0.25">
      <c r="C249" s="1119"/>
    </row>
  </sheetData>
  <mergeCells count="23">
    <mergeCell ref="A3:C3"/>
    <mergeCell ref="A6:C6"/>
    <mergeCell ref="A8:A9"/>
    <mergeCell ref="B8:B9"/>
    <mergeCell ref="A11:A14"/>
    <mergeCell ref="B11:B14"/>
    <mergeCell ref="A15:A16"/>
    <mergeCell ref="B15:B16"/>
    <mergeCell ref="A21:A23"/>
    <mergeCell ref="B21:B23"/>
    <mergeCell ref="A24:A25"/>
    <mergeCell ref="B24:B25"/>
    <mergeCell ref="A26:A27"/>
    <mergeCell ref="B26:B27"/>
    <mergeCell ref="A28:A29"/>
    <mergeCell ref="B28:B29"/>
    <mergeCell ref="A32:A33"/>
    <mergeCell ref="B32:B33"/>
    <mergeCell ref="A48:A49"/>
    <mergeCell ref="B48:B49"/>
    <mergeCell ref="C50:C51"/>
    <mergeCell ref="C52:C53"/>
    <mergeCell ref="A54:C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F69" sqref="F69"/>
    </sheetView>
  </sheetViews>
  <sheetFormatPr defaultColWidth="8.77734375" defaultRowHeight="13.8" x14ac:dyDescent="0.25"/>
  <cols>
    <col min="1" max="1" width="4.77734375" style="1611" customWidth="1"/>
    <col min="2" max="2" width="46.77734375" style="1611" customWidth="1"/>
    <col min="3" max="3" width="16.88671875" style="1611" customWidth="1"/>
    <col min="4" max="4" width="15.5546875" style="1611" customWidth="1"/>
    <col min="5" max="5" width="15.21875" style="1611" hidden="1" customWidth="1"/>
    <col min="6" max="6" width="17.6640625" style="1611" customWidth="1"/>
    <col min="7" max="7" width="18.33203125" style="1611" customWidth="1"/>
    <col min="8" max="256" width="8.77734375" style="1611"/>
    <col min="257" max="257" width="4.77734375" style="1611" customWidth="1"/>
    <col min="258" max="258" width="46.77734375" style="1611" customWidth="1"/>
    <col min="259" max="259" width="16.88671875" style="1611" customWidth="1"/>
    <col min="260" max="260" width="15.5546875" style="1611" customWidth="1"/>
    <col min="261" max="261" width="0" style="1611" hidden="1" customWidth="1"/>
    <col min="262" max="262" width="17.6640625" style="1611" customWidth="1"/>
    <col min="263" max="263" width="18.33203125" style="1611" customWidth="1"/>
    <col min="264" max="512" width="8.77734375" style="1611"/>
    <col min="513" max="513" width="4.77734375" style="1611" customWidth="1"/>
    <col min="514" max="514" width="46.77734375" style="1611" customWidth="1"/>
    <col min="515" max="515" width="16.88671875" style="1611" customWidth="1"/>
    <col min="516" max="516" width="15.5546875" style="1611" customWidth="1"/>
    <col min="517" max="517" width="0" style="1611" hidden="1" customWidth="1"/>
    <col min="518" max="518" width="17.6640625" style="1611" customWidth="1"/>
    <col min="519" max="519" width="18.33203125" style="1611" customWidth="1"/>
    <col min="520" max="768" width="8.77734375" style="1611"/>
    <col min="769" max="769" width="4.77734375" style="1611" customWidth="1"/>
    <col min="770" max="770" width="46.77734375" style="1611" customWidth="1"/>
    <col min="771" max="771" width="16.88671875" style="1611" customWidth="1"/>
    <col min="772" max="772" width="15.5546875" style="1611" customWidth="1"/>
    <col min="773" max="773" width="0" style="1611" hidden="1" customWidth="1"/>
    <col min="774" max="774" width="17.6640625" style="1611" customWidth="1"/>
    <col min="775" max="775" width="18.33203125" style="1611" customWidth="1"/>
    <col min="776" max="1024" width="8.77734375" style="1611"/>
    <col min="1025" max="1025" width="4.77734375" style="1611" customWidth="1"/>
    <col min="1026" max="1026" width="46.77734375" style="1611" customWidth="1"/>
    <col min="1027" max="1027" width="16.88671875" style="1611" customWidth="1"/>
    <col min="1028" max="1028" width="15.5546875" style="1611" customWidth="1"/>
    <col min="1029" max="1029" width="0" style="1611" hidden="1" customWidth="1"/>
    <col min="1030" max="1030" width="17.6640625" style="1611" customWidth="1"/>
    <col min="1031" max="1031" width="18.33203125" style="1611" customWidth="1"/>
    <col min="1032" max="1280" width="8.77734375" style="1611"/>
    <col min="1281" max="1281" width="4.77734375" style="1611" customWidth="1"/>
    <col min="1282" max="1282" width="46.77734375" style="1611" customWidth="1"/>
    <col min="1283" max="1283" width="16.88671875" style="1611" customWidth="1"/>
    <col min="1284" max="1284" width="15.5546875" style="1611" customWidth="1"/>
    <col min="1285" max="1285" width="0" style="1611" hidden="1" customWidth="1"/>
    <col min="1286" max="1286" width="17.6640625" style="1611" customWidth="1"/>
    <col min="1287" max="1287" width="18.33203125" style="1611" customWidth="1"/>
    <col min="1288" max="1536" width="8.77734375" style="1611"/>
    <col min="1537" max="1537" width="4.77734375" style="1611" customWidth="1"/>
    <col min="1538" max="1538" width="46.77734375" style="1611" customWidth="1"/>
    <col min="1539" max="1539" width="16.88671875" style="1611" customWidth="1"/>
    <col min="1540" max="1540" width="15.5546875" style="1611" customWidth="1"/>
    <col min="1541" max="1541" width="0" style="1611" hidden="1" customWidth="1"/>
    <col min="1542" max="1542" width="17.6640625" style="1611" customWidth="1"/>
    <col min="1543" max="1543" width="18.33203125" style="1611" customWidth="1"/>
    <col min="1544" max="1792" width="8.77734375" style="1611"/>
    <col min="1793" max="1793" width="4.77734375" style="1611" customWidth="1"/>
    <col min="1794" max="1794" width="46.77734375" style="1611" customWidth="1"/>
    <col min="1795" max="1795" width="16.88671875" style="1611" customWidth="1"/>
    <col min="1796" max="1796" width="15.5546875" style="1611" customWidth="1"/>
    <col min="1797" max="1797" width="0" style="1611" hidden="1" customWidth="1"/>
    <col min="1798" max="1798" width="17.6640625" style="1611" customWidth="1"/>
    <col min="1799" max="1799" width="18.33203125" style="1611" customWidth="1"/>
    <col min="1800" max="2048" width="8.77734375" style="1611"/>
    <col min="2049" max="2049" width="4.77734375" style="1611" customWidth="1"/>
    <col min="2050" max="2050" width="46.77734375" style="1611" customWidth="1"/>
    <col min="2051" max="2051" width="16.88671875" style="1611" customWidth="1"/>
    <col min="2052" max="2052" width="15.5546875" style="1611" customWidth="1"/>
    <col min="2053" max="2053" width="0" style="1611" hidden="1" customWidth="1"/>
    <col min="2054" max="2054" width="17.6640625" style="1611" customWidth="1"/>
    <col min="2055" max="2055" width="18.33203125" style="1611" customWidth="1"/>
    <col min="2056" max="2304" width="8.77734375" style="1611"/>
    <col min="2305" max="2305" width="4.77734375" style="1611" customWidth="1"/>
    <col min="2306" max="2306" width="46.77734375" style="1611" customWidth="1"/>
    <col min="2307" max="2307" width="16.88671875" style="1611" customWidth="1"/>
    <col min="2308" max="2308" width="15.5546875" style="1611" customWidth="1"/>
    <col min="2309" max="2309" width="0" style="1611" hidden="1" customWidth="1"/>
    <col min="2310" max="2310" width="17.6640625" style="1611" customWidth="1"/>
    <col min="2311" max="2311" width="18.33203125" style="1611" customWidth="1"/>
    <col min="2312" max="2560" width="8.77734375" style="1611"/>
    <col min="2561" max="2561" width="4.77734375" style="1611" customWidth="1"/>
    <col min="2562" max="2562" width="46.77734375" style="1611" customWidth="1"/>
    <col min="2563" max="2563" width="16.88671875" style="1611" customWidth="1"/>
    <col min="2564" max="2564" width="15.5546875" style="1611" customWidth="1"/>
    <col min="2565" max="2565" width="0" style="1611" hidden="1" customWidth="1"/>
    <col min="2566" max="2566" width="17.6640625" style="1611" customWidth="1"/>
    <col min="2567" max="2567" width="18.33203125" style="1611" customWidth="1"/>
    <col min="2568" max="2816" width="8.77734375" style="1611"/>
    <col min="2817" max="2817" width="4.77734375" style="1611" customWidth="1"/>
    <col min="2818" max="2818" width="46.77734375" style="1611" customWidth="1"/>
    <col min="2819" max="2819" width="16.88671875" style="1611" customWidth="1"/>
    <col min="2820" max="2820" width="15.5546875" style="1611" customWidth="1"/>
    <col min="2821" max="2821" width="0" style="1611" hidden="1" customWidth="1"/>
    <col min="2822" max="2822" width="17.6640625" style="1611" customWidth="1"/>
    <col min="2823" max="2823" width="18.33203125" style="1611" customWidth="1"/>
    <col min="2824" max="3072" width="8.77734375" style="1611"/>
    <col min="3073" max="3073" width="4.77734375" style="1611" customWidth="1"/>
    <col min="3074" max="3074" width="46.77734375" style="1611" customWidth="1"/>
    <col min="3075" max="3075" width="16.88671875" style="1611" customWidth="1"/>
    <col min="3076" max="3076" width="15.5546875" style="1611" customWidth="1"/>
    <col min="3077" max="3077" width="0" style="1611" hidden="1" customWidth="1"/>
    <col min="3078" max="3078" width="17.6640625" style="1611" customWidth="1"/>
    <col min="3079" max="3079" width="18.33203125" style="1611" customWidth="1"/>
    <col min="3080" max="3328" width="8.77734375" style="1611"/>
    <col min="3329" max="3329" width="4.77734375" style="1611" customWidth="1"/>
    <col min="3330" max="3330" width="46.77734375" style="1611" customWidth="1"/>
    <col min="3331" max="3331" width="16.88671875" style="1611" customWidth="1"/>
    <col min="3332" max="3332" width="15.5546875" style="1611" customWidth="1"/>
    <col min="3333" max="3333" width="0" style="1611" hidden="1" customWidth="1"/>
    <col min="3334" max="3334" width="17.6640625" style="1611" customWidth="1"/>
    <col min="3335" max="3335" width="18.33203125" style="1611" customWidth="1"/>
    <col min="3336" max="3584" width="8.77734375" style="1611"/>
    <col min="3585" max="3585" width="4.77734375" style="1611" customWidth="1"/>
    <col min="3586" max="3586" width="46.77734375" style="1611" customWidth="1"/>
    <col min="3587" max="3587" width="16.88671875" style="1611" customWidth="1"/>
    <col min="3588" max="3588" width="15.5546875" style="1611" customWidth="1"/>
    <col min="3589" max="3589" width="0" style="1611" hidden="1" customWidth="1"/>
    <col min="3590" max="3590" width="17.6640625" style="1611" customWidth="1"/>
    <col min="3591" max="3591" width="18.33203125" style="1611" customWidth="1"/>
    <col min="3592" max="3840" width="8.77734375" style="1611"/>
    <col min="3841" max="3841" width="4.77734375" style="1611" customWidth="1"/>
    <col min="3842" max="3842" width="46.77734375" style="1611" customWidth="1"/>
    <col min="3843" max="3843" width="16.88671875" style="1611" customWidth="1"/>
    <col min="3844" max="3844" width="15.5546875" style="1611" customWidth="1"/>
    <col min="3845" max="3845" width="0" style="1611" hidden="1" customWidth="1"/>
    <col min="3846" max="3846" width="17.6640625" style="1611" customWidth="1"/>
    <col min="3847" max="3847" width="18.33203125" style="1611" customWidth="1"/>
    <col min="3848" max="4096" width="8.77734375" style="1611"/>
    <col min="4097" max="4097" width="4.77734375" style="1611" customWidth="1"/>
    <col min="4098" max="4098" width="46.77734375" style="1611" customWidth="1"/>
    <col min="4099" max="4099" width="16.88671875" style="1611" customWidth="1"/>
    <col min="4100" max="4100" width="15.5546875" style="1611" customWidth="1"/>
    <col min="4101" max="4101" width="0" style="1611" hidden="1" customWidth="1"/>
    <col min="4102" max="4102" width="17.6640625" style="1611" customWidth="1"/>
    <col min="4103" max="4103" width="18.33203125" style="1611" customWidth="1"/>
    <col min="4104" max="4352" width="8.77734375" style="1611"/>
    <col min="4353" max="4353" width="4.77734375" style="1611" customWidth="1"/>
    <col min="4354" max="4354" width="46.77734375" style="1611" customWidth="1"/>
    <col min="4355" max="4355" width="16.88671875" style="1611" customWidth="1"/>
    <col min="4356" max="4356" width="15.5546875" style="1611" customWidth="1"/>
    <col min="4357" max="4357" width="0" style="1611" hidden="1" customWidth="1"/>
    <col min="4358" max="4358" width="17.6640625" style="1611" customWidth="1"/>
    <col min="4359" max="4359" width="18.33203125" style="1611" customWidth="1"/>
    <col min="4360" max="4608" width="8.77734375" style="1611"/>
    <col min="4609" max="4609" width="4.77734375" style="1611" customWidth="1"/>
    <col min="4610" max="4610" width="46.77734375" style="1611" customWidth="1"/>
    <col min="4611" max="4611" width="16.88671875" style="1611" customWidth="1"/>
    <col min="4612" max="4612" width="15.5546875" style="1611" customWidth="1"/>
    <col min="4613" max="4613" width="0" style="1611" hidden="1" customWidth="1"/>
    <col min="4614" max="4614" width="17.6640625" style="1611" customWidth="1"/>
    <col min="4615" max="4615" width="18.33203125" style="1611" customWidth="1"/>
    <col min="4616" max="4864" width="8.77734375" style="1611"/>
    <col min="4865" max="4865" width="4.77734375" style="1611" customWidth="1"/>
    <col min="4866" max="4866" width="46.77734375" style="1611" customWidth="1"/>
    <col min="4867" max="4867" width="16.88671875" style="1611" customWidth="1"/>
    <col min="4868" max="4868" width="15.5546875" style="1611" customWidth="1"/>
    <col min="4869" max="4869" width="0" style="1611" hidden="1" customWidth="1"/>
    <col min="4870" max="4870" width="17.6640625" style="1611" customWidth="1"/>
    <col min="4871" max="4871" width="18.33203125" style="1611" customWidth="1"/>
    <col min="4872" max="5120" width="8.77734375" style="1611"/>
    <col min="5121" max="5121" width="4.77734375" style="1611" customWidth="1"/>
    <col min="5122" max="5122" width="46.77734375" style="1611" customWidth="1"/>
    <col min="5123" max="5123" width="16.88671875" style="1611" customWidth="1"/>
    <col min="5124" max="5124" width="15.5546875" style="1611" customWidth="1"/>
    <col min="5125" max="5125" width="0" style="1611" hidden="1" customWidth="1"/>
    <col min="5126" max="5126" width="17.6640625" style="1611" customWidth="1"/>
    <col min="5127" max="5127" width="18.33203125" style="1611" customWidth="1"/>
    <col min="5128" max="5376" width="8.77734375" style="1611"/>
    <col min="5377" max="5377" width="4.77734375" style="1611" customWidth="1"/>
    <col min="5378" max="5378" width="46.77734375" style="1611" customWidth="1"/>
    <col min="5379" max="5379" width="16.88671875" style="1611" customWidth="1"/>
    <col min="5380" max="5380" width="15.5546875" style="1611" customWidth="1"/>
    <col min="5381" max="5381" width="0" style="1611" hidden="1" customWidth="1"/>
    <col min="5382" max="5382" width="17.6640625" style="1611" customWidth="1"/>
    <col min="5383" max="5383" width="18.33203125" style="1611" customWidth="1"/>
    <col min="5384" max="5632" width="8.77734375" style="1611"/>
    <col min="5633" max="5633" width="4.77734375" style="1611" customWidth="1"/>
    <col min="5634" max="5634" width="46.77734375" style="1611" customWidth="1"/>
    <col min="5635" max="5635" width="16.88671875" style="1611" customWidth="1"/>
    <col min="5636" max="5636" width="15.5546875" style="1611" customWidth="1"/>
    <col min="5637" max="5637" width="0" style="1611" hidden="1" customWidth="1"/>
    <col min="5638" max="5638" width="17.6640625" style="1611" customWidth="1"/>
    <col min="5639" max="5639" width="18.33203125" style="1611" customWidth="1"/>
    <col min="5640" max="5888" width="8.77734375" style="1611"/>
    <col min="5889" max="5889" width="4.77734375" style="1611" customWidth="1"/>
    <col min="5890" max="5890" width="46.77734375" style="1611" customWidth="1"/>
    <col min="5891" max="5891" width="16.88671875" style="1611" customWidth="1"/>
    <col min="5892" max="5892" width="15.5546875" style="1611" customWidth="1"/>
    <col min="5893" max="5893" width="0" style="1611" hidden="1" customWidth="1"/>
    <col min="5894" max="5894" width="17.6640625" style="1611" customWidth="1"/>
    <col min="5895" max="5895" width="18.33203125" style="1611" customWidth="1"/>
    <col min="5896" max="6144" width="8.77734375" style="1611"/>
    <col min="6145" max="6145" width="4.77734375" style="1611" customWidth="1"/>
    <col min="6146" max="6146" width="46.77734375" style="1611" customWidth="1"/>
    <col min="6147" max="6147" width="16.88671875" style="1611" customWidth="1"/>
    <col min="6148" max="6148" width="15.5546875" style="1611" customWidth="1"/>
    <col min="6149" max="6149" width="0" style="1611" hidden="1" customWidth="1"/>
    <col min="6150" max="6150" width="17.6640625" style="1611" customWidth="1"/>
    <col min="6151" max="6151" width="18.33203125" style="1611" customWidth="1"/>
    <col min="6152" max="6400" width="8.77734375" style="1611"/>
    <col min="6401" max="6401" width="4.77734375" style="1611" customWidth="1"/>
    <col min="6402" max="6402" width="46.77734375" style="1611" customWidth="1"/>
    <col min="6403" max="6403" width="16.88671875" style="1611" customWidth="1"/>
    <col min="6404" max="6404" width="15.5546875" style="1611" customWidth="1"/>
    <col min="6405" max="6405" width="0" style="1611" hidden="1" customWidth="1"/>
    <col min="6406" max="6406" width="17.6640625" style="1611" customWidth="1"/>
    <col min="6407" max="6407" width="18.33203125" style="1611" customWidth="1"/>
    <col min="6408" max="6656" width="8.77734375" style="1611"/>
    <col min="6657" max="6657" width="4.77734375" style="1611" customWidth="1"/>
    <col min="6658" max="6658" width="46.77734375" style="1611" customWidth="1"/>
    <col min="6659" max="6659" width="16.88671875" style="1611" customWidth="1"/>
    <col min="6660" max="6660" width="15.5546875" style="1611" customWidth="1"/>
    <col min="6661" max="6661" width="0" style="1611" hidden="1" customWidth="1"/>
    <col min="6662" max="6662" width="17.6640625" style="1611" customWidth="1"/>
    <col min="6663" max="6663" width="18.33203125" style="1611" customWidth="1"/>
    <col min="6664" max="6912" width="8.77734375" style="1611"/>
    <col min="6913" max="6913" width="4.77734375" style="1611" customWidth="1"/>
    <col min="6914" max="6914" width="46.77734375" style="1611" customWidth="1"/>
    <col min="6915" max="6915" width="16.88671875" style="1611" customWidth="1"/>
    <col min="6916" max="6916" width="15.5546875" style="1611" customWidth="1"/>
    <col min="6917" max="6917" width="0" style="1611" hidden="1" customWidth="1"/>
    <col min="6918" max="6918" width="17.6640625" style="1611" customWidth="1"/>
    <col min="6919" max="6919" width="18.33203125" style="1611" customWidth="1"/>
    <col min="6920" max="7168" width="8.77734375" style="1611"/>
    <col min="7169" max="7169" width="4.77734375" style="1611" customWidth="1"/>
    <col min="7170" max="7170" width="46.77734375" style="1611" customWidth="1"/>
    <col min="7171" max="7171" width="16.88671875" style="1611" customWidth="1"/>
    <col min="7172" max="7172" width="15.5546875" style="1611" customWidth="1"/>
    <col min="7173" max="7173" width="0" style="1611" hidden="1" customWidth="1"/>
    <col min="7174" max="7174" width="17.6640625" style="1611" customWidth="1"/>
    <col min="7175" max="7175" width="18.33203125" style="1611" customWidth="1"/>
    <col min="7176" max="7424" width="8.77734375" style="1611"/>
    <col min="7425" max="7425" width="4.77734375" style="1611" customWidth="1"/>
    <col min="7426" max="7426" width="46.77734375" style="1611" customWidth="1"/>
    <col min="7427" max="7427" width="16.88671875" style="1611" customWidth="1"/>
    <col min="7428" max="7428" width="15.5546875" style="1611" customWidth="1"/>
    <col min="7429" max="7429" width="0" style="1611" hidden="1" customWidth="1"/>
    <col min="7430" max="7430" width="17.6640625" style="1611" customWidth="1"/>
    <col min="7431" max="7431" width="18.33203125" style="1611" customWidth="1"/>
    <col min="7432" max="7680" width="8.77734375" style="1611"/>
    <col min="7681" max="7681" width="4.77734375" style="1611" customWidth="1"/>
    <col min="7682" max="7682" width="46.77734375" style="1611" customWidth="1"/>
    <col min="7683" max="7683" width="16.88671875" style="1611" customWidth="1"/>
    <col min="7684" max="7684" width="15.5546875" style="1611" customWidth="1"/>
    <col min="7685" max="7685" width="0" style="1611" hidden="1" customWidth="1"/>
    <col min="7686" max="7686" width="17.6640625" style="1611" customWidth="1"/>
    <col min="7687" max="7687" width="18.33203125" style="1611" customWidth="1"/>
    <col min="7688" max="7936" width="8.77734375" style="1611"/>
    <col min="7937" max="7937" width="4.77734375" style="1611" customWidth="1"/>
    <col min="7938" max="7938" width="46.77734375" style="1611" customWidth="1"/>
    <col min="7939" max="7939" width="16.88671875" style="1611" customWidth="1"/>
    <col min="7940" max="7940" width="15.5546875" style="1611" customWidth="1"/>
    <col min="7941" max="7941" width="0" style="1611" hidden="1" customWidth="1"/>
    <col min="7942" max="7942" width="17.6640625" style="1611" customWidth="1"/>
    <col min="7943" max="7943" width="18.33203125" style="1611" customWidth="1"/>
    <col min="7944" max="8192" width="8.77734375" style="1611"/>
    <col min="8193" max="8193" width="4.77734375" style="1611" customWidth="1"/>
    <col min="8194" max="8194" width="46.77734375" style="1611" customWidth="1"/>
    <col min="8195" max="8195" width="16.88671875" style="1611" customWidth="1"/>
    <col min="8196" max="8196" width="15.5546875" style="1611" customWidth="1"/>
    <col min="8197" max="8197" width="0" style="1611" hidden="1" customWidth="1"/>
    <col min="8198" max="8198" width="17.6640625" style="1611" customWidth="1"/>
    <col min="8199" max="8199" width="18.33203125" style="1611" customWidth="1"/>
    <col min="8200" max="8448" width="8.77734375" style="1611"/>
    <col min="8449" max="8449" width="4.77734375" style="1611" customWidth="1"/>
    <col min="8450" max="8450" width="46.77734375" style="1611" customWidth="1"/>
    <col min="8451" max="8451" width="16.88671875" style="1611" customWidth="1"/>
    <col min="8452" max="8452" width="15.5546875" style="1611" customWidth="1"/>
    <col min="8453" max="8453" width="0" style="1611" hidden="1" customWidth="1"/>
    <col min="8454" max="8454" width="17.6640625" style="1611" customWidth="1"/>
    <col min="8455" max="8455" width="18.33203125" style="1611" customWidth="1"/>
    <col min="8456" max="8704" width="8.77734375" style="1611"/>
    <col min="8705" max="8705" width="4.77734375" style="1611" customWidth="1"/>
    <col min="8706" max="8706" width="46.77734375" style="1611" customWidth="1"/>
    <col min="8707" max="8707" width="16.88671875" style="1611" customWidth="1"/>
    <col min="8708" max="8708" width="15.5546875" style="1611" customWidth="1"/>
    <col min="8709" max="8709" width="0" style="1611" hidden="1" customWidth="1"/>
    <col min="8710" max="8710" width="17.6640625" style="1611" customWidth="1"/>
    <col min="8711" max="8711" width="18.33203125" style="1611" customWidth="1"/>
    <col min="8712" max="8960" width="8.77734375" style="1611"/>
    <col min="8961" max="8961" width="4.77734375" style="1611" customWidth="1"/>
    <col min="8962" max="8962" width="46.77734375" style="1611" customWidth="1"/>
    <col min="8963" max="8963" width="16.88671875" style="1611" customWidth="1"/>
    <col min="8964" max="8964" width="15.5546875" style="1611" customWidth="1"/>
    <col min="8965" max="8965" width="0" style="1611" hidden="1" customWidth="1"/>
    <col min="8966" max="8966" width="17.6640625" style="1611" customWidth="1"/>
    <col min="8967" max="8967" width="18.33203125" style="1611" customWidth="1"/>
    <col min="8968" max="9216" width="8.77734375" style="1611"/>
    <col min="9217" max="9217" width="4.77734375" style="1611" customWidth="1"/>
    <col min="9218" max="9218" width="46.77734375" style="1611" customWidth="1"/>
    <col min="9219" max="9219" width="16.88671875" style="1611" customWidth="1"/>
    <col min="9220" max="9220" width="15.5546875" style="1611" customWidth="1"/>
    <col min="9221" max="9221" width="0" style="1611" hidden="1" customWidth="1"/>
    <col min="9222" max="9222" width="17.6640625" style="1611" customWidth="1"/>
    <col min="9223" max="9223" width="18.33203125" style="1611" customWidth="1"/>
    <col min="9224" max="9472" width="8.77734375" style="1611"/>
    <col min="9473" max="9473" width="4.77734375" style="1611" customWidth="1"/>
    <col min="9474" max="9474" width="46.77734375" style="1611" customWidth="1"/>
    <col min="9475" max="9475" width="16.88671875" style="1611" customWidth="1"/>
    <col min="9476" max="9476" width="15.5546875" style="1611" customWidth="1"/>
    <col min="9477" max="9477" width="0" style="1611" hidden="1" customWidth="1"/>
    <col min="9478" max="9478" width="17.6640625" style="1611" customWidth="1"/>
    <col min="9479" max="9479" width="18.33203125" style="1611" customWidth="1"/>
    <col min="9480" max="9728" width="8.77734375" style="1611"/>
    <col min="9729" max="9729" width="4.77734375" style="1611" customWidth="1"/>
    <col min="9730" max="9730" width="46.77734375" style="1611" customWidth="1"/>
    <col min="9731" max="9731" width="16.88671875" style="1611" customWidth="1"/>
    <col min="9732" max="9732" width="15.5546875" style="1611" customWidth="1"/>
    <col min="9733" max="9733" width="0" style="1611" hidden="1" customWidth="1"/>
    <col min="9734" max="9734" width="17.6640625" style="1611" customWidth="1"/>
    <col min="9735" max="9735" width="18.33203125" style="1611" customWidth="1"/>
    <col min="9736" max="9984" width="8.77734375" style="1611"/>
    <col min="9985" max="9985" width="4.77734375" style="1611" customWidth="1"/>
    <col min="9986" max="9986" width="46.77734375" style="1611" customWidth="1"/>
    <col min="9987" max="9987" width="16.88671875" style="1611" customWidth="1"/>
    <col min="9988" max="9988" width="15.5546875" style="1611" customWidth="1"/>
    <col min="9989" max="9989" width="0" style="1611" hidden="1" customWidth="1"/>
    <col min="9990" max="9990" width="17.6640625" style="1611" customWidth="1"/>
    <col min="9991" max="9991" width="18.33203125" style="1611" customWidth="1"/>
    <col min="9992" max="10240" width="8.77734375" style="1611"/>
    <col min="10241" max="10241" width="4.77734375" style="1611" customWidth="1"/>
    <col min="10242" max="10242" width="46.77734375" style="1611" customWidth="1"/>
    <col min="10243" max="10243" width="16.88671875" style="1611" customWidth="1"/>
    <col min="10244" max="10244" width="15.5546875" style="1611" customWidth="1"/>
    <col min="10245" max="10245" width="0" style="1611" hidden="1" customWidth="1"/>
    <col min="10246" max="10246" width="17.6640625" style="1611" customWidth="1"/>
    <col min="10247" max="10247" width="18.33203125" style="1611" customWidth="1"/>
    <col min="10248" max="10496" width="8.77734375" style="1611"/>
    <col min="10497" max="10497" width="4.77734375" style="1611" customWidth="1"/>
    <col min="10498" max="10498" width="46.77734375" style="1611" customWidth="1"/>
    <col min="10499" max="10499" width="16.88671875" style="1611" customWidth="1"/>
    <col min="10500" max="10500" width="15.5546875" style="1611" customWidth="1"/>
    <col min="10501" max="10501" width="0" style="1611" hidden="1" customWidth="1"/>
    <col min="10502" max="10502" width="17.6640625" style="1611" customWidth="1"/>
    <col min="10503" max="10503" width="18.33203125" style="1611" customWidth="1"/>
    <col min="10504" max="10752" width="8.77734375" style="1611"/>
    <col min="10753" max="10753" width="4.77734375" style="1611" customWidth="1"/>
    <col min="10754" max="10754" width="46.77734375" style="1611" customWidth="1"/>
    <col min="10755" max="10755" width="16.88671875" style="1611" customWidth="1"/>
    <col min="10756" max="10756" width="15.5546875" style="1611" customWidth="1"/>
    <col min="10757" max="10757" width="0" style="1611" hidden="1" customWidth="1"/>
    <col min="10758" max="10758" width="17.6640625" style="1611" customWidth="1"/>
    <col min="10759" max="10759" width="18.33203125" style="1611" customWidth="1"/>
    <col min="10760" max="11008" width="8.77734375" style="1611"/>
    <col min="11009" max="11009" width="4.77734375" style="1611" customWidth="1"/>
    <col min="11010" max="11010" width="46.77734375" style="1611" customWidth="1"/>
    <col min="11011" max="11011" width="16.88671875" style="1611" customWidth="1"/>
    <col min="11012" max="11012" width="15.5546875" style="1611" customWidth="1"/>
    <col min="11013" max="11013" width="0" style="1611" hidden="1" customWidth="1"/>
    <col min="11014" max="11014" width="17.6640625" style="1611" customWidth="1"/>
    <col min="11015" max="11015" width="18.33203125" style="1611" customWidth="1"/>
    <col min="11016" max="11264" width="8.77734375" style="1611"/>
    <col min="11265" max="11265" width="4.77734375" style="1611" customWidth="1"/>
    <col min="11266" max="11266" width="46.77734375" style="1611" customWidth="1"/>
    <col min="11267" max="11267" width="16.88671875" style="1611" customWidth="1"/>
    <col min="11268" max="11268" width="15.5546875" style="1611" customWidth="1"/>
    <col min="11269" max="11269" width="0" style="1611" hidden="1" customWidth="1"/>
    <col min="11270" max="11270" width="17.6640625" style="1611" customWidth="1"/>
    <col min="11271" max="11271" width="18.33203125" style="1611" customWidth="1"/>
    <col min="11272" max="11520" width="8.77734375" style="1611"/>
    <col min="11521" max="11521" width="4.77734375" style="1611" customWidth="1"/>
    <col min="11522" max="11522" width="46.77734375" style="1611" customWidth="1"/>
    <col min="11523" max="11523" width="16.88671875" style="1611" customWidth="1"/>
    <col min="11524" max="11524" width="15.5546875" style="1611" customWidth="1"/>
    <col min="11525" max="11525" width="0" style="1611" hidden="1" customWidth="1"/>
    <col min="11526" max="11526" width="17.6640625" style="1611" customWidth="1"/>
    <col min="11527" max="11527" width="18.33203125" style="1611" customWidth="1"/>
    <col min="11528" max="11776" width="8.77734375" style="1611"/>
    <col min="11777" max="11777" width="4.77734375" style="1611" customWidth="1"/>
    <col min="11778" max="11778" width="46.77734375" style="1611" customWidth="1"/>
    <col min="11779" max="11779" width="16.88671875" style="1611" customWidth="1"/>
    <col min="11780" max="11780" width="15.5546875" style="1611" customWidth="1"/>
    <col min="11781" max="11781" width="0" style="1611" hidden="1" customWidth="1"/>
    <col min="11782" max="11782" width="17.6640625" style="1611" customWidth="1"/>
    <col min="11783" max="11783" width="18.33203125" style="1611" customWidth="1"/>
    <col min="11784" max="12032" width="8.77734375" style="1611"/>
    <col min="12033" max="12033" width="4.77734375" style="1611" customWidth="1"/>
    <col min="12034" max="12034" width="46.77734375" style="1611" customWidth="1"/>
    <col min="12035" max="12035" width="16.88671875" style="1611" customWidth="1"/>
    <col min="12036" max="12036" width="15.5546875" style="1611" customWidth="1"/>
    <col min="12037" max="12037" width="0" style="1611" hidden="1" customWidth="1"/>
    <col min="12038" max="12038" width="17.6640625" style="1611" customWidth="1"/>
    <col min="12039" max="12039" width="18.33203125" style="1611" customWidth="1"/>
    <col min="12040" max="12288" width="8.77734375" style="1611"/>
    <col min="12289" max="12289" width="4.77734375" style="1611" customWidth="1"/>
    <col min="12290" max="12290" width="46.77734375" style="1611" customWidth="1"/>
    <col min="12291" max="12291" width="16.88671875" style="1611" customWidth="1"/>
    <col min="12292" max="12292" width="15.5546875" style="1611" customWidth="1"/>
    <col min="12293" max="12293" width="0" style="1611" hidden="1" customWidth="1"/>
    <col min="12294" max="12294" width="17.6640625" style="1611" customWidth="1"/>
    <col min="12295" max="12295" width="18.33203125" style="1611" customWidth="1"/>
    <col min="12296" max="12544" width="8.77734375" style="1611"/>
    <col min="12545" max="12545" width="4.77734375" style="1611" customWidth="1"/>
    <col min="12546" max="12546" width="46.77734375" style="1611" customWidth="1"/>
    <col min="12547" max="12547" width="16.88671875" style="1611" customWidth="1"/>
    <col min="12548" max="12548" width="15.5546875" style="1611" customWidth="1"/>
    <col min="12549" max="12549" width="0" style="1611" hidden="1" customWidth="1"/>
    <col min="12550" max="12550" width="17.6640625" style="1611" customWidth="1"/>
    <col min="12551" max="12551" width="18.33203125" style="1611" customWidth="1"/>
    <col min="12552" max="12800" width="8.77734375" style="1611"/>
    <col min="12801" max="12801" width="4.77734375" style="1611" customWidth="1"/>
    <col min="12802" max="12802" width="46.77734375" style="1611" customWidth="1"/>
    <col min="12803" max="12803" width="16.88671875" style="1611" customWidth="1"/>
    <col min="12804" max="12804" width="15.5546875" style="1611" customWidth="1"/>
    <col min="12805" max="12805" width="0" style="1611" hidden="1" customWidth="1"/>
    <col min="12806" max="12806" width="17.6640625" style="1611" customWidth="1"/>
    <col min="12807" max="12807" width="18.33203125" style="1611" customWidth="1"/>
    <col min="12808" max="13056" width="8.77734375" style="1611"/>
    <col min="13057" max="13057" width="4.77734375" style="1611" customWidth="1"/>
    <col min="13058" max="13058" width="46.77734375" style="1611" customWidth="1"/>
    <col min="13059" max="13059" width="16.88671875" style="1611" customWidth="1"/>
    <col min="13060" max="13060" width="15.5546875" style="1611" customWidth="1"/>
    <col min="13061" max="13061" width="0" style="1611" hidden="1" customWidth="1"/>
    <col min="13062" max="13062" width="17.6640625" style="1611" customWidth="1"/>
    <col min="13063" max="13063" width="18.33203125" style="1611" customWidth="1"/>
    <col min="13064" max="13312" width="8.77734375" style="1611"/>
    <col min="13313" max="13313" width="4.77734375" style="1611" customWidth="1"/>
    <col min="13314" max="13314" width="46.77734375" style="1611" customWidth="1"/>
    <col min="13315" max="13315" width="16.88671875" style="1611" customWidth="1"/>
    <col min="13316" max="13316" width="15.5546875" style="1611" customWidth="1"/>
    <col min="13317" max="13317" width="0" style="1611" hidden="1" customWidth="1"/>
    <col min="13318" max="13318" width="17.6640625" style="1611" customWidth="1"/>
    <col min="13319" max="13319" width="18.33203125" style="1611" customWidth="1"/>
    <col min="13320" max="13568" width="8.77734375" style="1611"/>
    <col min="13569" max="13569" width="4.77734375" style="1611" customWidth="1"/>
    <col min="13570" max="13570" width="46.77734375" style="1611" customWidth="1"/>
    <col min="13571" max="13571" width="16.88671875" style="1611" customWidth="1"/>
    <col min="13572" max="13572" width="15.5546875" style="1611" customWidth="1"/>
    <col min="13573" max="13573" width="0" style="1611" hidden="1" customWidth="1"/>
    <col min="13574" max="13574" width="17.6640625" style="1611" customWidth="1"/>
    <col min="13575" max="13575" width="18.33203125" style="1611" customWidth="1"/>
    <col min="13576" max="13824" width="8.77734375" style="1611"/>
    <col min="13825" max="13825" width="4.77734375" style="1611" customWidth="1"/>
    <col min="13826" max="13826" width="46.77734375" style="1611" customWidth="1"/>
    <col min="13827" max="13827" width="16.88671875" style="1611" customWidth="1"/>
    <col min="13828" max="13828" width="15.5546875" style="1611" customWidth="1"/>
    <col min="13829" max="13829" width="0" style="1611" hidden="1" customWidth="1"/>
    <col min="13830" max="13830" width="17.6640625" style="1611" customWidth="1"/>
    <col min="13831" max="13831" width="18.33203125" style="1611" customWidth="1"/>
    <col min="13832" max="14080" width="8.77734375" style="1611"/>
    <col min="14081" max="14081" width="4.77734375" style="1611" customWidth="1"/>
    <col min="14082" max="14082" width="46.77734375" style="1611" customWidth="1"/>
    <col min="14083" max="14083" width="16.88671875" style="1611" customWidth="1"/>
    <col min="14084" max="14084" width="15.5546875" style="1611" customWidth="1"/>
    <col min="14085" max="14085" width="0" style="1611" hidden="1" customWidth="1"/>
    <col min="14086" max="14086" width="17.6640625" style="1611" customWidth="1"/>
    <col min="14087" max="14087" width="18.33203125" style="1611" customWidth="1"/>
    <col min="14088" max="14336" width="8.77734375" style="1611"/>
    <col min="14337" max="14337" width="4.77734375" style="1611" customWidth="1"/>
    <col min="14338" max="14338" width="46.77734375" style="1611" customWidth="1"/>
    <col min="14339" max="14339" width="16.88671875" style="1611" customWidth="1"/>
    <col min="14340" max="14340" width="15.5546875" style="1611" customWidth="1"/>
    <col min="14341" max="14341" width="0" style="1611" hidden="1" customWidth="1"/>
    <col min="14342" max="14342" width="17.6640625" style="1611" customWidth="1"/>
    <col min="14343" max="14343" width="18.33203125" style="1611" customWidth="1"/>
    <col min="14344" max="14592" width="8.77734375" style="1611"/>
    <col min="14593" max="14593" width="4.77734375" style="1611" customWidth="1"/>
    <col min="14594" max="14594" width="46.77734375" style="1611" customWidth="1"/>
    <col min="14595" max="14595" width="16.88671875" style="1611" customWidth="1"/>
    <col min="14596" max="14596" width="15.5546875" style="1611" customWidth="1"/>
    <col min="14597" max="14597" width="0" style="1611" hidden="1" customWidth="1"/>
    <col min="14598" max="14598" width="17.6640625" style="1611" customWidth="1"/>
    <col min="14599" max="14599" width="18.33203125" style="1611" customWidth="1"/>
    <col min="14600" max="14848" width="8.77734375" style="1611"/>
    <col min="14849" max="14849" width="4.77734375" style="1611" customWidth="1"/>
    <col min="14850" max="14850" width="46.77734375" style="1611" customWidth="1"/>
    <col min="14851" max="14851" width="16.88671875" style="1611" customWidth="1"/>
    <col min="14852" max="14852" width="15.5546875" style="1611" customWidth="1"/>
    <col min="14853" max="14853" width="0" style="1611" hidden="1" customWidth="1"/>
    <col min="14854" max="14854" width="17.6640625" style="1611" customWidth="1"/>
    <col min="14855" max="14855" width="18.33203125" style="1611" customWidth="1"/>
    <col min="14856" max="15104" width="8.77734375" style="1611"/>
    <col min="15105" max="15105" width="4.77734375" style="1611" customWidth="1"/>
    <col min="15106" max="15106" width="46.77734375" style="1611" customWidth="1"/>
    <col min="15107" max="15107" width="16.88671875" style="1611" customWidth="1"/>
    <col min="15108" max="15108" width="15.5546875" style="1611" customWidth="1"/>
    <col min="15109" max="15109" width="0" style="1611" hidden="1" customWidth="1"/>
    <col min="15110" max="15110" width="17.6640625" style="1611" customWidth="1"/>
    <col min="15111" max="15111" width="18.33203125" style="1611" customWidth="1"/>
    <col min="15112" max="15360" width="8.77734375" style="1611"/>
    <col min="15361" max="15361" width="4.77734375" style="1611" customWidth="1"/>
    <col min="15362" max="15362" width="46.77734375" style="1611" customWidth="1"/>
    <col min="15363" max="15363" width="16.88671875" style="1611" customWidth="1"/>
    <col min="15364" max="15364" width="15.5546875" style="1611" customWidth="1"/>
    <col min="15365" max="15365" width="0" style="1611" hidden="1" customWidth="1"/>
    <col min="15366" max="15366" width="17.6640625" style="1611" customWidth="1"/>
    <col min="15367" max="15367" width="18.33203125" style="1611" customWidth="1"/>
    <col min="15368" max="15616" width="8.77734375" style="1611"/>
    <col min="15617" max="15617" width="4.77734375" style="1611" customWidth="1"/>
    <col min="15618" max="15618" width="46.77734375" style="1611" customWidth="1"/>
    <col min="15619" max="15619" width="16.88671875" style="1611" customWidth="1"/>
    <col min="15620" max="15620" width="15.5546875" style="1611" customWidth="1"/>
    <col min="15621" max="15621" width="0" style="1611" hidden="1" customWidth="1"/>
    <col min="15622" max="15622" width="17.6640625" style="1611" customWidth="1"/>
    <col min="15623" max="15623" width="18.33203125" style="1611" customWidth="1"/>
    <col min="15624" max="15872" width="8.77734375" style="1611"/>
    <col min="15873" max="15873" width="4.77734375" style="1611" customWidth="1"/>
    <col min="15874" max="15874" width="46.77734375" style="1611" customWidth="1"/>
    <col min="15875" max="15875" width="16.88671875" style="1611" customWidth="1"/>
    <col min="15876" max="15876" width="15.5546875" style="1611" customWidth="1"/>
    <col min="15877" max="15877" width="0" style="1611" hidden="1" customWidth="1"/>
    <col min="15878" max="15878" width="17.6640625" style="1611" customWidth="1"/>
    <col min="15879" max="15879" width="18.33203125" style="1611" customWidth="1"/>
    <col min="15880" max="16128" width="8.77734375" style="1611"/>
    <col min="16129" max="16129" width="4.77734375" style="1611" customWidth="1"/>
    <col min="16130" max="16130" width="46.77734375" style="1611" customWidth="1"/>
    <col min="16131" max="16131" width="16.88671875" style="1611" customWidth="1"/>
    <col min="16132" max="16132" width="15.5546875" style="1611" customWidth="1"/>
    <col min="16133" max="16133" width="0" style="1611" hidden="1" customWidth="1"/>
    <col min="16134" max="16134" width="17.6640625" style="1611" customWidth="1"/>
    <col min="16135" max="16135" width="18.33203125" style="1611" customWidth="1"/>
    <col min="16136" max="16384" width="8.77734375" style="1611"/>
  </cols>
  <sheetData>
    <row r="1" spans="1:13" ht="93.6" customHeight="1" x14ac:dyDescent="0.25">
      <c r="F1" s="2008" t="s">
        <v>1915</v>
      </c>
      <c r="G1" s="2009"/>
    </row>
    <row r="3" spans="1:13" ht="17.399999999999999" customHeight="1" x14ac:dyDescent="0.3">
      <c r="A3" s="2010" t="s">
        <v>1916</v>
      </c>
      <c r="B3" s="2010"/>
      <c r="C3" s="2010"/>
      <c r="D3" s="2010"/>
      <c r="E3" s="2010"/>
      <c r="F3" s="2010"/>
      <c r="G3" s="2010"/>
    </row>
    <row r="4" spans="1:13" ht="17.399999999999999" x14ac:dyDescent="0.25">
      <c r="A4" s="2011" t="s">
        <v>1917</v>
      </c>
      <c r="B4" s="2011"/>
      <c r="C4" s="2011"/>
      <c r="D4" s="2011"/>
      <c r="E4" s="2011"/>
      <c r="F4" s="2011"/>
      <c r="G4" s="2011"/>
    </row>
    <row r="5" spans="1:13" s="1613" customFormat="1" ht="20.399999999999999" x14ac:dyDescent="0.25">
      <c r="A5" s="2012">
        <v>2357600000</v>
      </c>
      <c r="B5" s="2012"/>
      <c r="C5" s="1612"/>
      <c r="D5" s="1612"/>
      <c r="E5" s="1612"/>
      <c r="F5" s="1612"/>
    </row>
    <row r="6" spans="1:13" s="1613" customFormat="1" ht="20.399999999999999" x14ac:dyDescent="0.25">
      <c r="A6" s="2013" t="s">
        <v>691</v>
      </c>
      <c r="B6" s="2013"/>
      <c r="C6" s="1612"/>
      <c r="D6" s="1612"/>
      <c r="G6" s="1614" t="s">
        <v>692</v>
      </c>
      <c r="M6" s="1615"/>
    </row>
    <row r="7" spans="1:13" x14ac:dyDescent="0.25">
      <c r="A7" s="2014" t="s">
        <v>1918</v>
      </c>
      <c r="B7" s="2014" t="s">
        <v>1919</v>
      </c>
      <c r="C7" s="2016" t="s">
        <v>1920</v>
      </c>
      <c r="D7" s="2018" t="s">
        <v>1921</v>
      </c>
      <c r="E7" s="2018"/>
      <c r="F7" s="2018"/>
      <c r="G7" s="2018"/>
    </row>
    <row r="8" spans="1:13" ht="69" x14ac:dyDescent="0.25">
      <c r="A8" s="2015"/>
      <c r="B8" s="2015"/>
      <c r="C8" s="2017"/>
      <c r="D8" s="1616" t="s">
        <v>1922</v>
      </c>
      <c r="E8" s="1617" t="s">
        <v>1923</v>
      </c>
      <c r="F8" s="1617" t="s">
        <v>1924</v>
      </c>
      <c r="G8" s="1618" t="s">
        <v>1925</v>
      </c>
    </row>
    <row r="9" spans="1:13" x14ac:dyDescent="0.25">
      <c r="A9" s="2004" t="s">
        <v>1926</v>
      </c>
      <c r="B9" s="2005"/>
      <c r="C9" s="2005"/>
      <c r="D9" s="2005"/>
      <c r="E9" s="2005"/>
      <c r="F9" s="2005"/>
      <c r="G9" s="2006"/>
    </row>
    <row r="10" spans="1:13" ht="27.6" x14ac:dyDescent="0.25">
      <c r="A10" s="1619">
        <v>1</v>
      </c>
      <c r="B10" s="1620" t="s">
        <v>1927</v>
      </c>
      <c r="C10" s="1621">
        <f>D10+E10+F10+G10</f>
        <v>310000</v>
      </c>
      <c r="D10" s="1621"/>
      <c r="E10" s="1622"/>
      <c r="F10" s="1623">
        <v>310000</v>
      </c>
      <c r="G10" s="1624"/>
    </row>
    <row r="11" spans="1:13" x14ac:dyDescent="0.25">
      <c r="A11" s="1619">
        <v>2</v>
      </c>
      <c r="B11" s="1620" t="s">
        <v>1928</v>
      </c>
      <c r="C11" s="1621">
        <f t="shared" ref="C11:C23" si="0">D11+E11+F11+G11</f>
        <v>700000</v>
      </c>
      <c r="D11" s="1621"/>
      <c r="E11" s="1622"/>
      <c r="F11" s="1623">
        <v>700000</v>
      </c>
      <c r="G11" s="1624"/>
    </row>
    <row r="12" spans="1:13" ht="27.6" x14ac:dyDescent="0.25">
      <c r="A12" s="1619">
        <v>3</v>
      </c>
      <c r="B12" s="1620" t="s">
        <v>1929</v>
      </c>
      <c r="C12" s="1621">
        <f t="shared" si="0"/>
        <v>600000</v>
      </c>
      <c r="D12" s="1621"/>
      <c r="E12" s="1622"/>
      <c r="F12" s="1623">
        <v>600000</v>
      </c>
      <c r="G12" s="1624"/>
    </row>
    <row r="13" spans="1:13" x14ac:dyDescent="0.25">
      <c r="A13" s="1619">
        <v>4</v>
      </c>
      <c r="B13" s="1620" t="s">
        <v>1930</v>
      </c>
      <c r="C13" s="1621">
        <f t="shared" si="0"/>
        <v>580000</v>
      </c>
      <c r="D13" s="1621"/>
      <c r="E13" s="1622"/>
      <c r="F13" s="1623">
        <v>580000</v>
      </c>
      <c r="G13" s="1624"/>
    </row>
    <row r="14" spans="1:13" ht="41.4" x14ac:dyDescent="0.25">
      <c r="A14" s="1619">
        <v>5</v>
      </c>
      <c r="B14" s="1620" t="s">
        <v>1931</v>
      </c>
      <c r="C14" s="1621">
        <f t="shared" si="0"/>
        <v>300000</v>
      </c>
      <c r="D14" s="1621"/>
      <c r="E14" s="1622"/>
      <c r="F14" s="1623">
        <v>300000</v>
      </c>
      <c r="G14" s="1624"/>
    </row>
    <row r="15" spans="1:13" x14ac:dyDescent="0.25">
      <c r="A15" s="1619">
        <v>6</v>
      </c>
      <c r="B15" s="1620" t="s">
        <v>1932</v>
      </c>
      <c r="C15" s="1621">
        <f t="shared" si="0"/>
        <v>12950000</v>
      </c>
      <c r="D15" s="1621"/>
      <c r="E15" s="1622"/>
      <c r="F15" s="1623">
        <v>12950000</v>
      </c>
      <c r="G15" s="1624"/>
    </row>
    <row r="16" spans="1:13" ht="27.6" x14ac:dyDescent="0.25">
      <c r="A16" s="1619">
        <v>7</v>
      </c>
      <c r="B16" s="1620" t="s">
        <v>1933</v>
      </c>
      <c r="C16" s="1621">
        <f t="shared" si="0"/>
        <v>950000</v>
      </c>
      <c r="D16" s="1621"/>
      <c r="E16" s="1622"/>
      <c r="F16" s="1623">
        <v>950000</v>
      </c>
      <c r="G16" s="1624"/>
    </row>
    <row r="17" spans="1:7" ht="27.6" x14ac:dyDescent="0.25">
      <c r="A17" s="1619">
        <v>8</v>
      </c>
      <c r="B17" s="1625" t="s">
        <v>1934</v>
      </c>
      <c r="C17" s="1621">
        <f t="shared" si="0"/>
        <v>700000</v>
      </c>
      <c r="D17" s="1621"/>
      <c r="E17" s="1622"/>
      <c r="F17" s="1623">
        <v>700000</v>
      </c>
      <c r="G17" s="1624"/>
    </row>
    <row r="18" spans="1:7" ht="27.6" x14ac:dyDescent="0.25">
      <c r="A18" s="1619">
        <v>9</v>
      </c>
      <c r="B18" s="1625" t="s">
        <v>1935</v>
      </c>
      <c r="C18" s="1621">
        <f t="shared" si="0"/>
        <v>5050000</v>
      </c>
      <c r="D18" s="1622"/>
      <c r="E18" s="1624"/>
      <c r="F18" s="1626">
        <v>5050000</v>
      </c>
      <c r="G18" s="1624"/>
    </row>
    <row r="19" spans="1:7" ht="30" customHeight="1" x14ac:dyDescent="0.25">
      <c r="A19" s="1619">
        <v>10</v>
      </c>
      <c r="B19" s="1625" t="s">
        <v>1936</v>
      </c>
      <c r="C19" s="1621">
        <f t="shared" si="0"/>
        <v>3370000</v>
      </c>
      <c r="D19" s="1622"/>
      <c r="E19" s="1624"/>
      <c r="F19" s="1626">
        <v>3370000</v>
      </c>
      <c r="G19" s="1624"/>
    </row>
    <row r="20" spans="1:7" ht="27.6" x14ac:dyDescent="0.25">
      <c r="A20" s="1619">
        <v>11</v>
      </c>
      <c r="B20" s="1625" t="s">
        <v>1937</v>
      </c>
      <c r="C20" s="1621">
        <f t="shared" si="0"/>
        <v>633750</v>
      </c>
      <c r="D20" s="1624">
        <v>633750</v>
      </c>
      <c r="E20" s="1624"/>
      <c r="F20" s="1624"/>
      <c r="G20" s="1624"/>
    </row>
    <row r="21" spans="1:7" ht="41.4" x14ac:dyDescent="0.25">
      <c r="A21" s="1619">
        <v>12</v>
      </c>
      <c r="B21" s="1625" t="s">
        <v>1938</v>
      </c>
      <c r="C21" s="1621">
        <f t="shared" si="0"/>
        <v>755270</v>
      </c>
      <c r="D21" s="1624">
        <v>755270</v>
      </c>
      <c r="E21" s="1624"/>
      <c r="F21" s="1624"/>
      <c r="G21" s="1624"/>
    </row>
    <row r="22" spans="1:7" ht="27.6" x14ac:dyDescent="0.25">
      <c r="A22" s="1619">
        <v>13</v>
      </c>
      <c r="B22" s="1625" t="s">
        <v>1939</v>
      </c>
      <c r="C22" s="1621">
        <f t="shared" si="0"/>
        <v>3509257</v>
      </c>
      <c r="D22" s="1627">
        <v>3509257</v>
      </c>
      <c r="E22" s="1624"/>
      <c r="F22" s="1624"/>
      <c r="G22" s="1624"/>
    </row>
    <row r="23" spans="1:7" ht="27.6" x14ac:dyDescent="0.25">
      <c r="A23" s="1619">
        <v>14</v>
      </c>
      <c r="B23" s="1625" t="s">
        <v>1940</v>
      </c>
      <c r="C23" s="1621">
        <f t="shared" si="0"/>
        <v>14507000</v>
      </c>
      <c r="D23" s="1627">
        <f>11507000+3000000</f>
        <v>14507000</v>
      </c>
      <c r="E23" s="1624"/>
      <c r="F23" s="1624"/>
      <c r="G23" s="1624"/>
    </row>
    <row r="24" spans="1:7" ht="41.4" x14ac:dyDescent="0.25">
      <c r="A24" s="1619">
        <v>15</v>
      </c>
      <c r="B24" s="1625" t="s">
        <v>1941</v>
      </c>
      <c r="C24" s="1621">
        <f>D24+E24+F24+G24</f>
        <v>970000</v>
      </c>
      <c r="D24" s="1622"/>
      <c r="E24" s="1624"/>
      <c r="F24" s="1624"/>
      <c r="G24" s="1624">
        <v>970000</v>
      </c>
    </row>
    <row r="25" spans="1:7" x14ac:dyDescent="0.25">
      <c r="A25" s="2007" t="s">
        <v>1942</v>
      </c>
      <c r="B25" s="2007"/>
      <c r="C25" s="1628">
        <f>SUM(C10:C24)</f>
        <v>45885277</v>
      </c>
      <c r="D25" s="1628">
        <f>SUM(D10:D24)</f>
        <v>19405277</v>
      </c>
      <c r="E25" s="1628">
        <f>SUM(E10:E24)</f>
        <v>0</v>
      </c>
      <c r="F25" s="1628">
        <f>SUM(F10:F24)</f>
        <v>25510000</v>
      </c>
      <c r="G25" s="1628">
        <f>SUM(G10:G24)</f>
        <v>970000</v>
      </c>
    </row>
    <row r="26" spans="1:7" x14ac:dyDescent="0.25">
      <c r="E26" s="1629"/>
    </row>
    <row r="27" spans="1:7" x14ac:dyDescent="0.25">
      <c r="E27" s="1629"/>
    </row>
    <row r="28" spans="1:7" s="1631" customFormat="1" ht="15.6" x14ac:dyDescent="0.3">
      <c r="A28" s="1630" t="s">
        <v>681</v>
      </c>
      <c r="C28" s="1632"/>
      <c r="D28" s="1632"/>
      <c r="G28" s="1632" t="s">
        <v>682</v>
      </c>
    </row>
    <row r="29" spans="1:7" x14ac:dyDescent="0.25">
      <c r="C29" s="1629"/>
    </row>
    <row r="30" spans="1:7" ht="55.2" hidden="1" x14ac:dyDescent="0.25">
      <c r="B30" s="1633" t="s">
        <v>1943</v>
      </c>
      <c r="C30" s="1618" t="s">
        <v>1944</v>
      </c>
      <c r="D30" s="1618" t="s">
        <v>1945</v>
      </c>
      <c r="E30" s="1634" t="s">
        <v>1946</v>
      </c>
      <c r="F30" s="1634" t="s">
        <v>1947</v>
      </c>
    </row>
    <row r="31" spans="1:7" hidden="1" x14ac:dyDescent="0.25">
      <c r="B31" s="1635" t="s">
        <v>1948</v>
      </c>
      <c r="C31" s="1624"/>
      <c r="D31" s="1624"/>
      <c r="E31" s="1624"/>
      <c r="F31" s="1624"/>
    </row>
    <row r="32" spans="1:7" hidden="1" x14ac:dyDescent="0.25">
      <c r="B32" s="1635" t="s">
        <v>572</v>
      </c>
      <c r="C32" s="1624"/>
      <c r="D32" s="1624"/>
      <c r="E32" s="1624"/>
      <c r="F32" s="1624"/>
    </row>
    <row r="33" spans="2:6" hidden="1" x14ac:dyDescent="0.25">
      <c r="B33" s="1635" t="s">
        <v>1949</v>
      </c>
      <c r="C33" s="1624"/>
      <c r="D33" s="1624"/>
      <c r="E33" s="1624"/>
      <c r="F33" s="1624"/>
    </row>
    <row r="34" spans="2:6" hidden="1" x14ac:dyDescent="0.25">
      <c r="B34" s="1635" t="s">
        <v>1950</v>
      </c>
      <c r="C34" s="1624"/>
      <c r="D34" s="1624"/>
      <c r="E34" s="1624"/>
      <c r="F34" s="1624"/>
    </row>
  </sheetData>
  <mergeCells count="11">
    <mergeCell ref="A9:G9"/>
    <mergeCell ref="A25:B25"/>
    <mergeCell ref="F1:G1"/>
    <mergeCell ref="A3:G3"/>
    <mergeCell ref="A4:G4"/>
    <mergeCell ref="A5:B5"/>
    <mergeCell ref="A6:B6"/>
    <mergeCell ref="A7:A8"/>
    <mergeCell ref="B7:B8"/>
    <mergeCell ref="C7:C8"/>
    <mergeCell ref="D7:G7"/>
  </mergeCells>
  <pageMargins left="0.70866141732283472" right="0.38" top="0.47" bottom="0.74803149606299213" header="0.31496062992125984" footer="0.31496062992125984"/>
  <pageSetup paperSize="9" scale="7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zoomScale="90" zoomScaleNormal="90" zoomScaleSheetLayoutView="90" workbookViewId="0">
      <selection activeCell="F69" sqref="F69"/>
    </sheetView>
  </sheetViews>
  <sheetFormatPr defaultColWidth="8.6640625" defaultRowHeight="13.2" x14ac:dyDescent="0.25"/>
  <cols>
    <col min="1" max="1" width="7.44140625" style="1076" customWidth="1"/>
    <col min="2" max="2" width="70.5546875" style="1123" customWidth="1"/>
    <col min="3" max="3" width="23" style="1201" customWidth="1"/>
    <col min="4" max="4" width="27" style="1201" customWidth="1"/>
    <col min="5" max="5" width="19.44140625" style="1076" hidden="1" customWidth="1"/>
    <col min="6" max="6" width="18.77734375" style="1076" hidden="1" customWidth="1"/>
    <col min="7" max="7" width="8.6640625" style="1076"/>
    <col min="8" max="8" width="17.44140625" style="1076" customWidth="1"/>
    <col min="9" max="256" width="8.6640625" style="1076"/>
    <col min="257" max="257" width="7.44140625" style="1076" customWidth="1"/>
    <col min="258" max="258" width="70.5546875" style="1076" customWidth="1"/>
    <col min="259" max="259" width="23" style="1076" customWidth="1"/>
    <col min="260" max="260" width="27" style="1076" customWidth="1"/>
    <col min="261" max="262" width="0" style="1076" hidden="1" customWidth="1"/>
    <col min="263" max="263" width="8.6640625" style="1076"/>
    <col min="264" max="264" width="17.44140625" style="1076" customWidth="1"/>
    <col min="265" max="512" width="8.6640625" style="1076"/>
    <col min="513" max="513" width="7.44140625" style="1076" customWidth="1"/>
    <col min="514" max="514" width="70.5546875" style="1076" customWidth="1"/>
    <col min="515" max="515" width="23" style="1076" customWidth="1"/>
    <col min="516" max="516" width="27" style="1076" customWidth="1"/>
    <col min="517" max="518" width="0" style="1076" hidden="1" customWidth="1"/>
    <col min="519" max="519" width="8.6640625" style="1076"/>
    <col min="520" max="520" width="17.44140625" style="1076" customWidth="1"/>
    <col min="521" max="768" width="8.6640625" style="1076"/>
    <col min="769" max="769" width="7.44140625" style="1076" customWidth="1"/>
    <col min="770" max="770" width="70.5546875" style="1076" customWidth="1"/>
    <col min="771" max="771" width="23" style="1076" customWidth="1"/>
    <col min="772" max="772" width="27" style="1076" customWidth="1"/>
    <col min="773" max="774" width="0" style="1076" hidden="1" customWidth="1"/>
    <col min="775" max="775" width="8.6640625" style="1076"/>
    <col min="776" max="776" width="17.44140625" style="1076" customWidth="1"/>
    <col min="777" max="1024" width="8.6640625" style="1076"/>
    <col min="1025" max="1025" width="7.44140625" style="1076" customWidth="1"/>
    <col min="1026" max="1026" width="70.5546875" style="1076" customWidth="1"/>
    <col min="1027" max="1027" width="23" style="1076" customWidth="1"/>
    <col min="1028" max="1028" width="27" style="1076" customWidth="1"/>
    <col min="1029" max="1030" width="0" style="1076" hidden="1" customWidth="1"/>
    <col min="1031" max="1031" width="8.6640625" style="1076"/>
    <col min="1032" max="1032" width="17.44140625" style="1076" customWidth="1"/>
    <col min="1033" max="1280" width="8.6640625" style="1076"/>
    <col min="1281" max="1281" width="7.44140625" style="1076" customWidth="1"/>
    <col min="1282" max="1282" width="70.5546875" style="1076" customWidth="1"/>
    <col min="1283" max="1283" width="23" style="1076" customWidth="1"/>
    <col min="1284" max="1284" width="27" style="1076" customWidth="1"/>
    <col min="1285" max="1286" width="0" style="1076" hidden="1" customWidth="1"/>
    <col min="1287" max="1287" width="8.6640625" style="1076"/>
    <col min="1288" max="1288" width="17.44140625" style="1076" customWidth="1"/>
    <col min="1289" max="1536" width="8.6640625" style="1076"/>
    <col min="1537" max="1537" width="7.44140625" style="1076" customWidth="1"/>
    <col min="1538" max="1538" width="70.5546875" style="1076" customWidth="1"/>
    <col min="1539" max="1539" width="23" style="1076" customWidth="1"/>
    <col min="1540" max="1540" width="27" style="1076" customWidth="1"/>
    <col min="1541" max="1542" width="0" style="1076" hidden="1" customWidth="1"/>
    <col min="1543" max="1543" width="8.6640625" style="1076"/>
    <col min="1544" max="1544" width="17.44140625" style="1076" customWidth="1"/>
    <col min="1545" max="1792" width="8.6640625" style="1076"/>
    <col min="1793" max="1793" width="7.44140625" style="1076" customWidth="1"/>
    <col min="1794" max="1794" width="70.5546875" style="1076" customWidth="1"/>
    <col min="1795" max="1795" width="23" style="1076" customWidth="1"/>
    <col min="1796" max="1796" width="27" style="1076" customWidth="1"/>
    <col min="1797" max="1798" width="0" style="1076" hidden="1" customWidth="1"/>
    <col min="1799" max="1799" width="8.6640625" style="1076"/>
    <col min="1800" max="1800" width="17.44140625" style="1076" customWidth="1"/>
    <col min="1801" max="2048" width="8.6640625" style="1076"/>
    <col min="2049" max="2049" width="7.44140625" style="1076" customWidth="1"/>
    <col min="2050" max="2050" width="70.5546875" style="1076" customWidth="1"/>
    <col min="2051" max="2051" width="23" style="1076" customWidth="1"/>
    <col min="2052" max="2052" width="27" style="1076" customWidth="1"/>
    <col min="2053" max="2054" width="0" style="1076" hidden="1" customWidth="1"/>
    <col min="2055" max="2055" width="8.6640625" style="1076"/>
    <col min="2056" max="2056" width="17.44140625" style="1076" customWidth="1"/>
    <col min="2057" max="2304" width="8.6640625" style="1076"/>
    <col min="2305" max="2305" width="7.44140625" style="1076" customWidth="1"/>
    <col min="2306" max="2306" width="70.5546875" style="1076" customWidth="1"/>
    <col min="2307" max="2307" width="23" style="1076" customWidth="1"/>
    <col min="2308" max="2308" width="27" style="1076" customWidth="1"/>
    <col min="2309" max="2310" width="0" style="1076" hidden="1" customWidth="1"/>
    <col min="2311" max="2311" width="8.6640625" style="1076"/>
    <col min="2312" max="2312" width="17.44140625" style="1076" customWidth="1"/>
    <col min="2313" max="2560" width="8.6640625" style="1076"/>
    <col min="2561" max="2561" width="7.44140625" style="1076" customWidth="1"/>
    <col min="2562" max="2562" width="70.5546875" style="1076" customWidth="1"/>
    <col min="2563" max="2563" width="23" style="1076" customWidth="1"/>
    <col min="2564" max="2564" width="27" style="1076" customWidth="1"/>
    <col min="2565" max="2566" width="0" style="1076" hidden="1" customWidth="1"/>
    <col min="2567" max="2567" width="8.6640625" style="1076"/>
    <col min="2568" max="2568" width="17.44140625" style="1076" customWidth="1"/>
    <col min="2569" max="2816" width="8.6640625" style="1076"/>
    <col min="2817" max="2817" width="7.44140625" style="1076" customWidth="1"/>
    <col min="2818" max="2818" width="70.5546875" style="1076" customWidth="1"/>
    <col min="2819" max="2819" width="23" style="1076" customWidth="1"/>
    <col min="2820" max="2820" width="27" style="1076" customWidth="1"/>
    <col min="2821" max="2822" width="0" style="1076" hidden="1" customWidth="1"/>
    <col min="2823" max="2823" width="8.6640625" style="1076"/>
    <col min="2824" max="2824" width="17.44140625" style="1076" customWidth="1"/>
    <col min="2825" max="3072" width="8.6640625" style="1076"/>
    <col min="3073" max="3073" width="7.44140625" style="1076" customWidth="1"/>
    <col min="3074" max="3074" width="70.5546875" style="1076" customWidth="1"/>
    <col min="3075" max="3075" width="23" style="1076" customWidth="1"/>
    <col min="3076" max="3076" width="27" style="1076" customWidth="1"/>
    <col min="3077" max="3078" width="0" style="1076" hidden="1" customWidth="1"/>
    <col min="3079" max="3079" width="8.6640625" style="1076"/>
    <col min="3080" max="3080" width="17.44140625" style="1076" customWidth="1"/>
    <col min="3081" max="3328" width="8.6640625" style="1076"/>
    <col min="3329" max="3329" width="7.44140625" style="1076" customWidth="1"/>
    <col min="3330" max="3330" width="70.5546875" style="1076" customWidth="1"/>
    <col min="3331" max="3331" width="23" style="1076" customWidth="1"/>
    <col min="3332" max="3332" width="27" style="1076" customWidth="1"/>
    <col min="3333" max="3334" width="0" style="1076" hidden="1" customWidth="1"/>
    <col min="3335" max="3335" width="8.6640625" style="1076"/>
    <col min="3336" max="3336" width="17.44140625" style="1076" customWidth="1"/>
    <col min="3337" max="3584" width="8.6640625" style="1076"/>
    <col min="3585" max="3585" width="7.44140625" style="1076" customWidth="1"/>
    <col min="3586" max="3586" width="70.5546875" style="1076" customWidth="1"/>
    <col min="3587" max="3587" width="23" style="1076" customWidth="1"/>
    <col min="3588" max="3588" width="27" style="1076" customWidth="1"/>
    <col min="3589" max="3590" width="0" style="1076" hidden="1" customWidth="1"/>
    <col min="3591" max="3591" width="8.6640625" style="1076"/>
    <col min="3592" max="3592" width="17.44140625" style="1076" customWidth="1"/>
    <col min="3593" max="3840" width="8.6640625" style="1076"/>
    <col min="3841" max="3841" width="7.44140625" style="1076" customWidth="1"/>
    <col min="3842" max="3842" width="70.5546875" style="1076" customWidth="1"/>
    <col min="3843" max="3843" width="23" style="1076" customWidth="1"/>
    <col min="3844" max="3844" width="27" style="1076" customWidth="1"/>
    <col min="3845" max="3846" width="0" style="1076" hidden="1" customWidth="1"/>
    <col min="3847" max="3847" width="8.6640625" style="1076"/>
    <col min="3848" max="3848" width="17.44140625" style="1076" customWidth="1"/>
    <col min="3849" max="4096" width="8.6640625" style="1076"/>
    <col min="4097" max="4097" width="7.44140625" style="1076" customWidth="1"/>
    <col min="4098" max="4098" width="70.5546875" style="1076" customWidth="1"/>
    <col min="4099" max="4099" width="23" style="1076" customWidth="1"/>
    <col min="4100" max="4100" width="27" style="1076" customWidth="1"/>
    <col min="4101" max="4102" width="0" style="1076" hidden="1" customWidth="1"/>
    <col min="4103" max="4103" width="8.6640625" style="1076"/>
    <col min="4104" max="4104" width="17.44140625" style="1076" customWidth="1"/>
    <col min="4105" max="4352" width="8.6640625" style="1076"/>
    <col min="4353" max="4353" width="7.44140625" style="1076" customWidth="1"/>
    <col min="4354" max="4354" width="70.5546875" style="1076" customWidth="1"/>
    <col min="4355" max="4355" width="23" style="1076" customWidth="1"/>
    <col min="4356" max="4356" width="27" style="1076" customWidth="1"/>
    <col min="4357" max="4358" width="0" style="1076" hidden="1" customWidth="1"/>
    <col min="4359" max="4359" width="8.6640625" style="1076"/>
    <col min="4360" max="4360" width="17.44140625" style="1076" customWidth="1"/>
    <col min="4361" max="4608" width="8.6640625" style="1076"/>
    <col min="4609" max="4609" width="7.44140625" style="1076" customWidth="1"/>
    <col min="4610" max="4610" width="70.5546875" style="1076" customWidth="1"/>
    <col min="4611" max="4611" width="23" style="1076" customWidth="1"/>
    <col min="4612" max="4612" width="27" style="1076" customWidth="1"/>
    <col min="4613" max="4614" width="0" style="1076" hidden="1" customWidth="1"/>
    <col min="4615" max="4615" width="8.6640625" style="1076"/>
    <col min="4616" max="4616" width="17.44140625" style="1076" customWidth="1"/>
    <col min="4617" max="4864" width="8.6640625" style="1076"/>
    <col min="4865" max="4865" width="7.44140625" style="1076" customWidth="1"/>
    <col min="4866" max="4866" width="70.5546875" style="1076" customWidth="1"/>
    <col min="4867" max="4867" width="23" style="1076" customWidth="1"/>
    <col min="4868" max="4868" width="27" style="1076" customWidth="1"/>
    <col min="4869" max="4870" width="0" style="1076" hidden="1" customWidth="1"/>
    <col min="4871" max="4871" width="8.6640625" style="1076"/>
    <col min="4872" max="4872" width="17.44140625" style="1076" customWidth="1"/>
    <col min="4873" max="5120" width="8.6640625" style="1076"/>
    <col min="5121" max="5121" width="7.44140625" style="1076" customWidth="1"/>
    <col min="5122" max="5122" width="70.5546875" style="1076" customWidth="1"/>
    <col min="5123" max="5123" width="23" style="1076" customWidth="1"/>
    <col min="5124" max="5124" width="27" style="1076" customWidth="1"/>
    <col min="5125" max="5126" width="0" style="1076" hidden="1" customWidth="1"/>
    <col min="5127" max="5127" width="8.6640625" style="1076"/>
    <col min="5128" max="5128" width="17.44140625" style="1076" customWidth="1"/>
    <col min="5129" max="5376" width="8.6640625" style="1076"/>
    <col min="5377" max="5377" width="7.44140625" style="1076" customWidth="1"/>
    <col min="5378" max="5378" width="70.5546875" style="1076" customWidth="1"/>
    <col min="5379" max="5379" width="23" style="1076" customWidth="1"/>
    <col min="5380" max="5380" width="27" style="1076" customWidth="1"/>
    <col min="5381" max="5382" width="0" style="1076" hidden="1" customWidth="1"/>
    <col min="5383" max="5383" width="8.6640625" style="1076"/>
    <col min="5384" max="5384" width="17.44140625" style="1076" customWidth="1"/>
    <col min="5385" max="5632" width="8.6640625" style="1076"/>
    <col min="5633" max="5633" width="7.44140625" style="1076" customWidth="1"/>
    <col min="5634" max="5634" width="70.5546875" style="1076" customWidth="1"/>
    <col min="5635" max="5635" width="23" style="1076" customWidth="1"/>
    <col min="5636" max="5636" width="27" style="1076" customWidth="1"/>
    <col min="5637" max="5638" width="0" style="1076" hidden="1" customWidth="1"/>
    <col min="5639" max="5639" width="8.6640625" style="1076"/>
    <col min="5640" max="5640" width="17.44140625" style="1076" customWidth="1"/>
    <col min="5641" max="5888" width="8.6640625" style="1076"/>
    <col min="5889" max="5889" width="7.44140625" style="1076" customWidth="1"/>
    <col min="5890" max="5890" width="70.5546875" style="1076" customWidth="1"/>
    <col min="5891" max="5891" width="23" style="1076" customWidth="1"/>
    <col min="5892" max="5892" width="27" style="1076" customWidth="1"/>
    <col min="5893" max="5894" width="0" style="1076" hidden="1" customWidth="1"/>
    <col min="5895" max="5895" width="8.6640625" style="1076"/>
    <col min="5896" max="5896" width="17.44140625" style="1076" customWidth="1"/>
    <col min="5897" max="6144" width="8.6640625" style="1076"/>
    <col min="6145" max="6145" width="7.44140625" style="1076" customWidth="1"/>
    <col min="6146" max="6146" width="70.5546875" style="1076" customWidth="1"/>
    <col min="6147" max="6147" width="23" style="1076" customWidth="1"/>
    <col min="6148" max="6148" width="27" style="1076" customWidth="1"/>
    <col min="6149" max="6150" width="0" style="1076" hidden="1" customWidth="1"/>
    <col min="6151" max="6151" width="8.6640625" style="1076"/>
    <col min="6152" max="6152" width="17.44140625" style="1076" customWidth="1"/>
    <col min="6153" max="6400" width="8.6640625" style="1076"/>
    <col min="6401" max="6401" width="7.44140625" style="1076" customWidth="1"/>
    <col min="6402" max="6402" width="70.5546875" style="1076" customWidth="1"/>
    <col min="6403" max="6403" width="23" style="1076" customWidth="1"/>
    <col min="6404" max="6404" width="27" style="1076" customWidth="1"/>
    <col min="6405" max="6406" width="0" style="1076" hidden="1" customWidth="1"/>
    <col min="6407" max="6407" width="8.6640625" style="1076"/>
    <col min="6408" max="6408" width="17.44140625" style="1076" customWidth="1"/>
    <col min="6409" max="6656" width="8.6640625" style="1076"/>
    <col min="6657" max="6657" width="7.44140625" style="1076" customWidth="1"/>
    <col min="6658" max="6658" width="70.5546875" style="1076" customWidth="1"/>
    <col min="6659" max="6659" width="23" style="1076" customWidth="1"/>
    <col min="6660" max="6660" width="27" style="1076" customWidth="1"/>
    <col min="6661" max="6662" width="0" style="1076" hidden="1" customWidth="1"/>
    <col min="6663" max="6663" width="8.6640625" style="1076"/>
    <col min="6664" max="6664" width="17.44140625" style="1076" customWidth="1"/>
    <col min="6665" max="6912" width="8.6640625" style="1076"/>
    <col min="6913" max="6913" width="7.44140625" style="1076" customWidth="1"/>
    <col min="6914" max="6914" width="70.5546875" style="1076" customWidth="1"/>
    <col min="6915" max="6915" width="23" style="1076" customWidth="1"/>
    <col min="6916" max="6916" width="27" style="1076" customWidth="1"/>
    <col min="6917" max="6918" width="0" style="1076" hidden="1" customWidth="1"/>
    <col min="6919" max="6919" width="8.6640625" style="1076"/>
    <col min="6920" max="6920" width="17.44140625" style="1076" customWidth="1"/>
    <col min="6921" max="7168" width="8.6640625" style="1076"/>
    <col min="7169" max="7169" width="7.44140625" style="1076" customWidth="1"/>
    <col min="7170" max="7170" width="70.5546875" style="1076" customWidth="1"/>
    <col min="7171" max="7171" width="23" style="1076" customWidth="1"/>
    <col min="7172" max="7172" width="27" style="1076" customWidth="1"/>
    <col min="7173" max="7174" width="0" style="1076" hidden="1" customWidth="1"/>
    <col min="7175" max="7175" width="8.6640625" style="1076"/>
    <col min="7176" max="7176" width="17.44140625" style="1076" customWidth="1"/>
    <col min="7177" max="7424" width="8.6640625" style="1076"/>
    <col min="7425" max="7425" width="7.44140625" style="1076" customWidth="1"/>
    <col min="7426" max="7426" width="70.5546875" style="1076" customWidth="1"/>
    <col min="7427" max="7427" width="23" style="1076" customWidth="1"/>
    <col min="7428" max="7428" width="27" style="1076" customWidth="1"/>
    <col min="7429" max="7430" width="0" style="1076" hidden="1" customWidth="1"/>
    <col min="7431" max="7431" width="8.6640625" style="1076"/>
    <col min="7432" max="7432" width="17.44140625" style="1076" customWidth="1"/>
    <col min="7433" max="7680" width="8.6640625" style="1076"/>
    <col min="7681" max="7681" width="7.44140625" style="1076" customWidth="1"/>
    <col min="7682" max="7682" width="70.5546875" style="1076" customWidth="1"/>
    <col min="7683" max="7683" width="23" style="1076" customWidth="1"/>
    <col min="7684" max="7684" width="27" style="1076" customWidth="1"/>
    <col min="7685" max="7686" width="0" style="1076" hidden="1" customWidth="1"/>
    <col min="7687" max="7687" width="8.6640625" style="1076"/>
    <col min="7688" max="7688" width="17.44140625" style="1076" customWidth="1"/>
    <col min="7689" max="7936" width="8.6640625" style="1076"/>
    <col min="7937" max="7937" width="7.44140625" style="1076" customWidth="1"/>
    <col min="7938" max="7938" width="70.5546875" style="1076" customWidth="1"/>
    <col min="7939" max="7939" width="23" style="1076" customWidth="1"/>
    <col min="7940" max="7940" width="27" style="1076" customWidth="1"/>
    <col min="7941" max="7942" width="0" style="1076" hidden="1" customWidth="1"/>
    <col min="7943" max="7943" width="8.6640625" style="1076"/>
    <col min="7944" max="7944" width="17.44140625" style="1076" customWidth="1"/>
    <col min="7945" max="8192" width="8.6640625" style="1076"/>
    <col min="8193" max="8193" width="7.44140625" style="1076" customWidth="1"/>
    <col min="8194" max="8194" width="70.5546875" style="1076" customWidth="1"/>
    <col min="8195" max="8195" width="23" style="1076" customWidth="1"/>
    <col min="8196" max="8196" width="27" style="1076" customWidth="1"/>
    <col min="8197" max="8198" width="0" style="1076" hidden="1" customWidth="1"/>
    <col min="8199" max="8199" width="8.6640625" style="1076"/>
    <col min="8200" max="8200" width="17.44140625" style="1076" customWidth="1"/>
    <col min="8201" max="8448" width="8.6640625" style="1076"/>
    <col min="8449" max="8449" width="7.44140625" style="1076" customWidth="1"/>
    <col min="8450" max="8450" width="70.5546875" style="1076" customWidth="1"/>
    <col min="8451" max="8451" width="23" style="1076" customWidth="1"/>
    <col min="8452" max="8452" width="27" style="1076" customWidth="1"/>
    <col min="8453" max="8454" width="0" style="1076" hidden="1" customWidth="1"/>
    <col min="8455" max="8455" width="8.6640625" style="1076"/>
    <col min="8456" max="8456" width="17.44140625" style="1076" customWidth="1"/>
    <col min="8457" max="8704" width="8.6640625" style="1076"/>
    <col min="8705" max="8705" width="7.44140625" style="1076" customWidth="1"/>
    <col min="8706" max="8706" width="70.5546875" style="1076" customWidth="1"/>
    <col min="8707" max="8707" width="23" style="1076" customWidth="1"/>
    <col min="8708" max="8708" width="27" style="1076" customWidth="1"/>
    <col min="8709" max="8710" width="0" style="1076" hidden="1" customWidth="1"/>
    <col min="8711" max="8711" width="8.6640625" style="1076"/>
    <col min="8712" max="8712" width="17.44140625" style="1076" customWidth="1"/>
    <col min="8713" max="8960" width="8.6640625" style="1076"/>
    <col min="8961" max="8961" width="7.44140625" style="1076" customWidth="1"/>
    <col min="8962" max="8962" width="70.5546875" style="1076" customWidth="1"/>
    <col min="8963" max="8963" width="23" style="1076" customWidth="1"/>
    <col min="8964" max="8964" width="27" style="1076" customWidth="1"/>
    <col min="8965" max="8966" width="0" style="1076" hidden="1" customWidth="1"/>
    <col min="8967" max="8967" width="8.6640625" style="1076"/>
    <col min="8968" max="8968" width="17.44140625" style="1076" customWidth="1"/>
    <col min="8969" max="9216" width="8.6640625" style="1076"/>
    <col min="9217" max="9217" width="7.44140625" style="1076" customWidth="1"/>
    <col min="9218" max="9218" width="70.5546875" style="1076" customWidth="1"/>
    <col min="9219" max="9219" width="23" style="1076" customWidth="1"/>
    <col min="9220" max="9220" width="27" style="1076" customWidth="1"/>
    <col min="9221" max="9222" width="0" style="1076" hidden="1" customWidth="1"/>
    <col min="9223" max="9223" width="8.6640625" style="1076"/>
    <col min="9224" max="9224" width="17.44140625" style="1076" customWidth="1"/>
    <col min="9225" max="9472" width="8.6640625" style="1076"/>
    <col min="9473" max="9473" width="7.44140625" style="1076" customWidth="1"/>
    <col min="9474" max="9474" width="70.5546875" style="1076" customWidth="1"/>
    <col min="9475" max="9475" width="23" style="1076" customWidth="1"/>
    <col min="9476" max="9476" width="27" style="1076" customWidth="1"/>
    <col min="9477" max="9478" width="0" style="1076" hidden="1" customWidth="1"/>
    <col min="9479" max="9479" width="8.6640625" style="1076"/>
    <col min="9480" max="9480" width="17.44140625" style="1076" customWidth="1"/>
    <col min="9481" max="9728" width="8.6640625" style="1076"/>
    <col min="9729" max="9729" width="7.44140625" style="1076" customWidth="1"/>
    <col min="9730" max="9730" width="70.5546875" style="1076" customWidth="1"/>
    <col min="9731" max="9731" width="23" style="1076" customWidth="1"/>
    <col min="9732" max="9732" width="27" style="1076" customWidth="1"/>
    <col min="9733" max="9734" width="0" style="1076" hidden="1" customWidth="1"/>
    <col min="9735" max="9735" width="8.6640625" style="1076"/>
    <col min="9736" max="9736" width="17.44140625" style="1076" customWidth="1"/>
    <col min="9737" max="9984" width="8.6640625" style="1076"/>
    <col min="9985" max="9985" width="7.44140625" style="1076" customWidth="1"/>
    <col min="9986" max="9986" width="70.5546875" style="1076" customWidth="1"/>
    <col min="9987" max="9987" width="23" style="1076" customWidth="1"/>
    <col min="9988" max="9988" width="27" style="1076" customWidth="1"/>
    <col min="9989" max="9990" width="0" style="1076" hidden="1" customWidth="1"/>
    <col min="9991" max="9991" width="8.6640625" style="1076"/>
    <col min="9992" max="9992" width="17.44140625" style="1076" customWidth="1"/>
    <col min="9993" max="10240" width="8.6640625" style="1076"/>
    <col min="10241" max="10241" width="7.44140625" style="1076" customWidth="1"/>
    <col min="10242" max="10242" width="70.5546875" style="1076" customWidth="1"/>
    <col min="10243" max="10243" width="23" style="1076" customWidth="1"/>
    <col min="10244" max="10244" width="27" style="1076" customWidth="1"/>
    <col min="10245" max="10246" width="0" style="1076" hidden="1" customWidth="1"/>
    <col min="10247" max="10247" width="8.6640625" style="1076"/>
    <col min="10248" max="10248" width="17.44140625" style="1076" customWidth="1"/>
    <col min="10249" max="10496" width="8.6640625" style="1076"/>
    <col min="10497" max="10497" width="7.44140625" style="1076" customWidth="1"/>
    <col min="10498" max="10498" width="70.5546875" style="1076" customWidth="1"/>
    <col min="10499" max="10499" width="23" style="1076" customWidth="1"/>
    <col min="10500" max="10500" width="27" style="1076" customWidth="1"/>
    <col min="10501" max="10502" width="0" style="1076" hidden="1" customWidth="1"/>
    <col min="10503" max="10503" width="8.6640625" style="1076"/>
    <col min="10504" max="10504" width="17.44140625" style="1076" customWidth="1"/>
    <col min="10505" max="10752" width="8.6640625" style="1076"/>
    <col min="10753" max="10753" width="7.44140625" style="1076" customWidth="1"/>
    <col min="10754" max="10754" width="70.5546875" style="1076" customWidth="1"/>
    <col min="10755" max="10755" width="23" style="1076" customWidth="1"/>
    <col min="10756" max="10756" width="27" style="1076" customWidth="1"/>
    <col min="10757" max="10758" width="0" style="1076" hidden="1" customWidth="1"/>
    <col min="10759" max="10759" width="8.6640625" style="1076"/>
    <col min="10760" max="10760" width="17.44140625" style="1076" customWidth="1"/>
    <col min="10761" max="11008" width="8.6640625" style="1076"/>
    <col min="11009" max="11009" width="7.44140625" style="1076" customWidth="1"/>
    <col min="11010" max="11010" width="70.5546875" style="1076" customWidth="1"/>
    <col min="11011" max="11011" width="23" style="1076" customWidth="1"/>
    <col min="11012" max="11012" width="27" style="1076" customWidth="1"/>
    <col min="11013" max="11014" width="0" style="1076" hidden="1" customWidth="1"/>
    <col min="11015" max="11015" width="8.6640625" style="1076"/>
    <col min="11016" max="11016" width="17.44140625" style="1076" customWidth="1"/>
    <col min="11017" max="11264" width="8.6640625" style="1076"/>
    <col min="11265" max="11265" width="7.44140625" style="1076" customWidth="1"/>
    <col min="11266" max="11266" width="70.5546875" style="1076" customWidth="1"/>
    <col min="11267" max="11267" width="23" style="1076" customWidth="1"/>
    <col min="11268" max="11268" width="27" style="1076" customWidth="1"/>
    <col min="11269" max="11270" width="0" style="1076" hidden="1" customWidth="1"/>
    <col min="11271" max="11271" width="8.6640625" style="1076"/>
    <col min="11272" max="11272" width="17.44140625" style="1076" customWidth="1"/>
    <col min="11273" max="11520" width="8.6640625" style="1076"/>
    <col min="11521" max="11521" width="7.44140625" style="1076" customWidth="1"/>
    <col min="11522" max="11522" width="70.5546875" style="1076" customWidth="1"/>
    <col min="11523" max="11523" width="23" style="1076" customWidth="1"/>
    <col min="11524" max="11524" width="27" style="1076" customWidth="1"/>
    <col min="11525" max="11526" width="0" style="1076" hidden="1" customWidth="1"/>
    <col min="11527" max="11527" width="8.6640625" style="1076"/>
    <col min="11528" max="11528" width="17.44140625" style="1076" customWidth="1"/>
    <col min="11529" max="11776" width="8.6640625" style="1076"/>
    <col min="11777" max="11777" width="7.44140625" style="1076" customWidth="1"/>
    <col min="11778" max="11778" width="70.5546875" style="1076" customWidth="1"/>
    <col min="11779" max="11779" width="23" style="1076" customWidth="1"/>
    <col min="11780" max="11780" width="27" style="1076" customWidth="1"/>
    <col min="11781" max="11782" width="0" style="1076" hidden="1" customWidth="1"/>
    <col min="11783" max="11783" width="8.6640625" style="1076"/>
    <col min="11784" max="11784" width="17.44140625" style="1076" customWidth="1"/>
    <col min="11785" max="12032" width="8.6640625" style="1076"/>
    <col min="12033" max="12033" width="7.44140625" style="1076" customWidth="1"/>
    <col min="12034" max="12034" width="70.5546875" style="1076" customWidth="1"/>
    <col min="12035" max="12035" width="23" style="1076" customWidth="1"/>
    <col min="12036" max="12036" width="27" style="1076" customWidth="1"/>
    <col min="12037" max="12038" width="0" style="1076" hidden="1" customWidth="1"/>
    <col min="12039" max="12039" width="8.6640625" style="1076"/>
    <col min="12040" max="12040" width="17.44140625" style="1076" customWidth="1"/>
    <col min="12041" max="12288" width="8.6640625" style="1076"/>
    <col min="12289" max="12289" width="7.44140625" style="1076" customWidth="1"/>
    <col min="12290" max="12290" width="70.5546875" style="1076" customWidth="1"/>
    <col min="12291" max="12291" width="23" style="1076" customWidth="1"/>
    <col min="12292" max="12292" width="27" style="1076" customWidth="1"/>
    <col min="12293" max="12294" width="0" style="1076" hidden="1" customWidth="1"/>
    <col min="12295" max="12295" width="8.6640625" style="1076"/>
    <col min="12296" max="12296" width="17.44140625" style="1076" customWidth="1"/>
    <col min="12297" max="12544" width="8.6640625" style="1076"/>
    <col min="12545" max="12545" width="7.44140625" style="1076" customWidth="1"/>
    <col min="12546" max="12546" width="70.5546875" style="1076" customWidth="1"/>
    <col min="12547" max="12547" width="23" style="1076" customWidth="1"/>
    <col min="12548" max="12548" width="27" style="1076" customWidth="1"/>
    <col min="12549" max="12550" width="0" style="1076" hidden="1" customWidth="1"/>
    <col min="12551" max="12551" width="8.6640625" style="1076"/>
    <col min="12552" max="12552" width="17.44140625" style="1076" customWidth="1"/>
    <col min="12553" max="12800" width="8.6640625" style="1076"/>
    <col min="12801" max="12801" width="7.44140625" style="1076" customWidth="1"/>
    <col min="12802" max="12802" width="70.5546875" style="1076" customWidth="1"/>
    <col min="12803" max="12803" width="23" style="1076" customWidth="1"/>
    <col min="12804" max="12804" width="27" style="1076" customWidth="1"/>
    <col min="12805" max="12806" width="0" style="1076" hidden="1" customWidth="1"/>
    <col min="12807" max="12807" width="8.6640625" style="1076"/>
    <col min="12808" max="12808" width="17.44140625" style="1076" customWidth="1"/>
    <col min="12809" max="13056" width="8.6640625" style="1076"/>
    <col min="13057" max="13057" width="7.44140625" style="1076" customWidth="1"/>
    <col min="13058" max="13058" width="70.5546875" style="1076" customWidth="1"/>
    <col min="13059" max="13059" width="23" style="1076" customWidth="1"/>
    <col min="13060" max="13060" width="27" style="1076" customWidth="1"/>
    <col min="13061" max="13062" width="0" style="1076" hidden="1" customWidth="1"/>
    <col min="13063" max="13063" width="8.6640625" style="1076"/>
    <col min="13064" max="13064" width="17.44140625" style="1076" customWidth="1"/>
    <col min="13065" max="13312" width="8.6640625" style="1076"/>
    <col min="13313" max="13313" width="7.44140625" style="1076" customWidth="1"/>
    <col min="13314" max="13314" width="70.5546875" style="1076" customWidth="1"/>
    <col min="13315" max="13315" width="23" style="1076" customWidth="1"/>
    <col min="13316" max="13316" width="27" style="1076" customWidth="1"/>
    <col min="13317" max="13318" width="0" style="1076" hidden="1" customWidth="1"/>
    <col min="13319" max="13319" width="8.6640625" style="1076"/>
    <col min="13320" max="13320" width="17.44140625" style="1076" customWidth="1"/>
    <col min="13321" max="13568" width="8.6640625" style="1076"/>
    <col min="13569" max="13569" width="7.44140625" style="1076" customWidth="1"/>
    <col min="13570" max="13570" width="70.5546875" style="1076" customWidth="1"/>
    <col min="13571" max="13571" width="23" style="1076" customWidth="1"/>
    <col min="13572" max="13572" width="27" style="1076" customWidth="1"/>
    <col min="13573" max="13574" width="0" style="1076" hidden="1" customWidth="1"/>
    <col min="13575" max="13575" width="8.6640625" style="1076"/>
    <col min="13576" max="13576" width="17.44140625" style="1076" customWidth="1"/>
    <col min="13577" max="13824" width="8.6640625" style="1076"/>
    <col min="13825" max="13825" width="7.44140625" style="1076" customWidth="1"/>
    <col min="13826" max="13826" width="70.5546875" style="1076" customWidth="1"/>
    <col min="13827" max="13827" width="23" style="1076" customWidth="1"/>
    <col min="13828" max="13828" width="27" style="1076" customWidth="1"/>
    <col min="13829" max="13830" width="0" style="1076" hidden="1" customWidth="1"/>
    <col min="13831" max="13831" width="8.6640625" style="1076"/>
    <col min="13832" max="13832" width="17.44140625" style="1076" customWidth="1"/>
    <col min="13833" max="14080" width="8.6640625" style="1076"/>
    <col min="14081" max="14081" width="7.44140625" style="1076" customWidth="1"/>
    <col min="14082" max="14082" width="70.5546875" style="1076" customWidth="1"/>
    <col min="14083" max="14083" width="23" style="1076" customWidth="1"/>
    <col min="14084" max="14084" width="27" style="1076" customWidth="1"/>
    <col min="14085" max="14086" width="0" style="1076" hidden="1" customWidth="1"/>
    <col min="14087" max="14087" width="8.6640625" style="1076"/>
    <col min="14088" max="14088" width="17.44140625" style="1076" customWidth="1"/>
    <col min="14089" max="14336" width="8.6640625" style="1076"/>
    <col min="14337" max="14337" width="7.44140625" style="1076" customWidth="1"/>
    <col min="14338" max="14338" width="70.5546875" style="1076" customWidth="1"/>
    <col min="14339" max="14339" width="23" style="1076" customWidth="1"/>
    <col min="14340" max="14340" width="27" style="1076" customWidth="1"/>
    <col min="14341" max="14342" width="0" style="1076" hidden="1" customWidth="1"/>
    <col min="14343" max="14343" width="8.6640625" style="1076"/>
    <col min="14344" max="14344" width="17.44140625" style="1076" customWidth="1"/>
    <col min="14345" max="14592" width="8.6640625" style="1076"/>
    <col min="14593" max="14593" width="7.44140625" style="1076" customWidth="1"/>
    <col min="14594" max="14594" width="70.5546875" style="1076" customWidth="1"/>
    <col min="14595" max="14595" width="23" style="1076" customWidth="1"/>
    <col min="14596" max="14596" width="27" style="1076" customWidth="1"/>
    <col min="14597" max="14598" width="0" style="1076" hidden="1" customWidth="1"/>
    <col min="14599" max="14599" width="8.6640625" style="1076"/>
    <col min="14600" max="14600" width="17.44140625" style="1076" customWidth="1"/>
    <col min="14601" max="14848" width="8.6640625" style="1076"/>
    <col min="14849" max="14849" width="7.44140625" style="1076" customWidth="1"/>
    <col min="14850" max="14850" width="70.5546875" style="1076" customWidth="1"/>
    <col min="14851" max="14851" width="23" style="1076" customWidth="1"/>
    <col min="14852" max="14852" width="27" style="1076" customWidth="1"/>
    <col min="14853" max="14854" width="0" style="1076" hidden="1" customWidth="1"/>
    <col min="14855" max="14855" width="8.6640625" style="1076"/>
    <col min="14856" max="14856" width="17.44140625" style="1076" customWidth="1"/>
    <col min="14857" max="15104" width="8.6640625" style="1076"/>
    <col min="15105" max="15105" width="7.44140625" style="1076" customWidth="1"/>
    <col min="15106" max="15106" width="70.5546875" style="1076" customWidth="1"/>
    <col min="15107" max="15107" width="23" style="1076" customWidth="1"/>
    <col min="15108" max="15108" width="27" style="1076" customWidth="1"/>
    <col min="15109" max="15110" width="0" style="1076" hidden="1" customWidth="1"/>
    <col min="15111" max="15111" width="8.6640625" style="1076"/>
    <col min="15112" max="15112" width="17.44140625" style="1076" customWidth="1"/>
    <col min="15113" max="15360" width="8.6640625" style="1076"/>
    <col min="15361" max="15361" width="7.44140625" style="1076" customWidth="1"/>
    <col min="15362" max="15362" width="70.5546875" style="1076" customWidth="1"/>
    <col min="15363" max="15363" width="23" style="1076" customWidth="1"/>
    <col min="15364" max="15364" width="27" style="1076" customWidth="1"/>
    <col min="15365" max="15366" width="0" style="1076" hidden="1" customWidth="1"/>
    <col min="15367" max="15367" width="8.6640625" style="1076"/>
    <col min="15368" max="15368" width="17.44140625" style="1076" customWidth="1"/>
    <col min="15369" max="15616" width="8.6640625" style="1076"/>
    <col min="15617" max="15617" width="7.44140625" style="1076" customWidth="1"/>
    <col min="15618" max="15618" width="70.5546875" style="1076" customWidth="1"/>
    <col min="15619" max="15619" width="23" style="1076" customWidth="1"/>
    <col min="15620" max="15620" width="27" style="1076" customWidth="1"/>
    <col min="15621" max="15622" width="0" style="1076" hidden="1" customWidth="1"/>
    <col min="15623" max="15623" width="8.6640625" style="1076"/>
    <col min="15624" max="15624" width="17.44140625" style="1076" customWidth="1"/>
    <col min="15625" max="15872" width="8.6640625" style="1076"/>
    <col min="15873" max="15873" width="7.44140625" style="1076" customWidth="1"/>
    <col min="15874" max="15874" width="70.5546875" style="1076" customWidth="1"/>
    <col min="15875" max="15875" width="23" style="1076" customWidth="1"/>
    <col min="15876" max="15876" width="27" style="1076" customWidth="1"/>
    <col min="15877" max="15878" width="0" style="1076" hidden="1" customWidth="1"/>
    <col min="15879" max="15879" width="8.6640625" style="1076"/>
    <col min="15880" max="15880" width="17.44140625" style="1076" customWidth="1"/>
    <col min="15881" max="16128" width="8.6640625" style="1076"/>
    <col min="16129" max="16129" width="7.44140625" style="1076" customWidth="1"/>
    <col min="16130" max="16130" width="70.5546875" style="1076" customWidth="1"/>
    <col min="16131" max="16131" width="23" style="1076" customWidth="1"/>
    <col min="16132" max="16132" width="27" style="1076" customWidth="1"/>
    <col min="16133" max="16134" width="0" style="1076" hidden="1" customWidth="1"/>
    <col min="16135" max="16135" width="8.6640625" style="1076"/>
    <col min="16136" max="16136" width="17.44140625" style="1076" customWidth="1"/>
    <col min="16137" max="16384" width="8.6640625" style="1076"/>
  </cols>
  <sheetData>
    <row r="1" spans="1:6" ht="75" customHeight="1" x14ac:dyDescent="0.25">
      <c r="C1" s="1976" t="s">
        <v>1951</v>
      </c>
      <c r="D1" s="2020"/>
      <c r="E1" s="2021"/>
      <c r="F1" s="2022"/>
    </row>
    <row r="2" spans="1:6" ht="17.399999999999999" x14ac:dyDescent="0.25">
      <c r="B2" s="1636"/>
    </row>
    <row r="3" spans="1:6" ht="24.6" customHeight="1" x14ac:dyDescent="0.25">
      <c r="A3" s="2023" t="s">
        <v>1952</v>
      </c>
      <c r="B3" s="2023"/>
      <c r="C3" s="2023"/>
      <c r="D3" s="2023"/>
      <c r="E3" s="2023"/>
      <c r="F3" s="2023"/>
    </row>
    <row r="4" spans="1:6" ht="6.6" customHeight="1" x14ac:dyDescent="0.25">
      <c r="B4" s="1636"/>
    </row>
    <row r="5" spans="1:6" ht="20.399999999999999" x14ac:dyDescent="0.25">
      <c r="A5" s="2024">
        <v>2357600000</v>
      </c>
      <c r="B5" s="2024"/>
      <c r="C5" s="2024"/>
      <c r="D5" s="1582"/>
      <c r="E5" s="1074"/>
      <c r="F5" s="1074"/>
    </row>
    <row r="6" spans="1:6" ht="15.6" x14ac:dyDescent="0.25">
      <c r="A6" s="2025" t="s">
        <v>691</v>
      </c>
      <c r="B6" s="2025"/>
      <c r="C6" s="2025"/>
      <c r="D6" s="1637" t="s">
        <v>692</v>
      </c>
      <c r="E6" s="1074"/>
      <c r="F6" s="1638"/>
    </row>
    <row r="7" spans="1:6" ht="19.350000000000001" customHeight="1" x14ac:dyDescent="0.25">
      <c r="A7" s="2026" t="s">
        <v>1953</v>
      </c>
      <c r="B7" s="2028" t="s">
        <v>1954</v>
      </c>
      <c r="C7" s="2030" t="s">
        <v>1955</v>
      </c>
      <c r="D7" s="2030" t="s">
        <v>2</v>
      </c>
      <c r="E7" s="2030" t="s">
        <v>3</v>
      </c>
      <c r="F7" s="1639" t="s">
        <v>872</v>
      </c>
    </row>
    <row r="8" spans="1:6" ht="18" customHeight="1" x14ac:dyDescent="0.25">
      <c r="A8" s="2027"/>
      <c r="B8" s="2029"/>
      <c r="C8" s="2031"/>
      <c r="D8" s="2031"/>
      <c r="E8" s="2031"/>
      <c r="F8" s="1640" t="s">
        <v>1956</v>
      </c>
    </row>
    <row r="9" spans="1:6" ht="15.6" x14ac:dyDescent="0.25">
      <c r="A9" s="1641">
        <v>1</v>
      </c>
      <c r="B9" s="1642" t="s">
        <v>1957</v>
      </c>
      <c r="C9" s="1643">
        <f>C13+C16+C20+C23+C51+C53</f>
        <v>92161633</v>
      </c>
      <c r="D9" s="1643">
        <f>D16+D23+D51</f>
        <v>92161633</v>
      </c>
      <c r="E9" s="1644" t="e">
        <f>E13+E16+E20+E23+E53</f>
        <v>#REF!</v>
      </c>
      <c r="F9" s="1644" t="e">
        <f>F13+F16+F20+F23+F53</f>
        <v>#REF!</v>
      </c>
    </row>
    <row r="10" spans="1:6" ht="15" hidden="1" customHeight="1" x14ac:dyDescent="0.25">
      <c r="A10" s="1645">
        <v>1</v>
      </c>
      <c r="B10" s="1646" t="s">
        <v>385</v>
      </c>
      <c r="C10" s="1647">
        <f>D10+E10</f>
        <v>0</v>
      </c>
      <c r="D10" s="1648">
        <f>D12+D11</f>
        <v>0</v>
      </c>
      <c r="E10" s="1648">
        <f>F10</f>
        <v>0</v>
      </c>
      <c r="F10" s="1648">
        <f>F12+F11</f>
        <v>0</v>
      </c>
    </row>
    <row r="11" spans="1:6" ht="15" hidden="1" customHeight="1" x14ac:dyDescent="0.25">
      <c r="A11" s="1649" t="s">
        <v>1958</v>
      </c>
      <c r="B11" s="1650" t="s">
        <v>1959</v>
      </c>
      <c r="C11" s="1651">
        <f>D11+E11</f>
        <v>0</v>
      </c>
      <c r="D11" s="1651"/>
      <c r="E11" s="1651">
        <f>F11</f>
        <v>0</v>
      </c>
      <c r="F11" s="1652">
        <f>2000000+13500000-4414897.08-4459048-1802119-2406069.76-2417866.16</f>
        <v>0</v>
      </c>
    </row>
    <row r="12" spans="1:6" ht="15" hidden="1" customHeight="1" x14ac:dyDescent="0.25">
      <c r="A12" s="1649" t="s">
        <v>1960</v>
      </c>
      <c r="B12" s="1650" t="s">
        <v>1961</v>
      </c>
      <c r="C12" s="1651">
        <f>D12+E12</f>
        <v>0</v>
      </c>
      <c r="D12" s="1651"/>
      <c r="E12" s="1651">
        <f>F12</f>
        <v>0</v>
      </c>
      <c r="F12" s="1652">
        <f>7253000-3332562-3920438</f>
        <v>0</v>
      </c>
    </row>
    <row r="13" spans="1:6" s="1400" customFormat="1" ht="15" hidden="1" customHeight="1" x14ac:dyDescent="0.3">
      <c r="A13" s="1653" t="s">
        <v>1958</v>
      </c>
      <c r="B13" s="1654" t="s">
        <v>385</v>
      </c>
      <c r="C13" s="1655">
        <f>C14+C15</f>
        <v>0</v>
      </c>
      <c r="D13" s="1655">
        <f>D14+D15</f>
        <v>0</v>
      </c>
      <c r="E13" s="1655">
        <f>E14+E15</f>
        <v>0</v>
      </c>
      <c r="F13" s="1655">
        <f>F14+F15</f>
        <v>0</v>
      </c>
    </row>
    <row r="14" spans="1:6" ht="15" hidden="1" customHeight="1" x14ac:dyDescent="0.25">
      <c r="A14" s="1656"/>
      <c r="B14" s="1657" t="s">
        <v>1962</v>
      </c>
      <c r="C14" s="1651">
        <f>E14</f>
        <v>0</v>
      </c>
      <c r="D14" s="1651"/>
      <c r="E14" s="1651"/>
      <c r="F14" s="1658"/>
    </row>
    <row r="15" spans="1:6" ht="15" hidden="1" customHeight="1" x14ac:dyDescent="0.25">
      <c r="A15" s="1656"/>
      <c r="B15" s="1657" t="s">
        <v>1961</v>
      </c>
      <c r="C15" s="1651">
        <f>E15</f>
        <v>0</v>
      </c>
      <c r="D15" s="1651"/>
      <c r="E15" s="1651"/>
      <c r="F15" s="1658"/>
    </row>
    <row r="16" spans="1:6" s="1400" customFormat="1" ht="31.2" x14ac:dyDescent="0.3">
      <c r="A16" s="1653" t="s">
        <v>1958</v>
      </c>
      <c r="B16" s="1659" t="s">
        <v>389</v>
      </c>
      <c r="C16" s="1655">
        <f>D16+E16</f>
        <v>37641554</v>
      </c>
      <c r="D16" s="1655">
        <f>D18+D17</f>
        <v>37641554</v>
      </c>
      <c r="E16" s="1655">
        <f>E18+E19</f>
        <v>0</v>
      </c>
      <c r="F16" s="1655">
        <f>F18+F19</f>
        <v>0</v>
      </c>
    </row>
    <row r="17" spans="1:8" ht="26.4" hidden="1" x14ac:dyDescent="0.25">
      <c r="A17" s="1660"/>
      <c r="B17" s="1661" t="s">
        <v>1963</v>
      </c>
      <c r="C17" s="1658">
        <f>D17</f>
        <v>0</v>
      </c>
      <c r="D17" s="1658"/>
      <c r="E17" s="1658"/>
      <c r="F17" s="1658"/>
    </row>
    <row r="18" spans="1:8" ht="52.8" x14ac:dyDescent="0.25">
      <c r="A18" s="1656"/>
      <c r="B18" s="1662" t="s">
        <v>1964</v>
      </c>
      <c r="C18" s="1651">
        <f>D18</f>
        <v>37641554</v>
      </c>
      <c r="D18" s="1651">
        <v>37641554</v>
      </c>
      <c r="E18" s="1651"/>
      <c r="F18" s="1652"/>
    </row>
    <row r="19" spans="1:8" ht="39.6" hidden="1" x14ac:dyDescent="0.25">
      <c r="A19" s="1663"/>
      <c r="B19" s="1664" t="s">
        <v>1965</v>
      </c>
      <c r="C19" s="1665"/>
      <c r="D19" s="1665"/>
      <c r="E19" s="1665">
        <f>F19</f>
        <v>0</v>
      </c>
      <c r="F19" s="1666"/>
    </row>
    <row r="20" spans="1:8" s="1400" customFormat="1" ht="15" hidden="1" customHeight="1" x14ac:dyDescent="0.3">
      <c r="A20" s="1653" t="s">
        <v>1966</v>
      </c>
      <c r="B20" s="1646" t="s">
        <v>391</v>
      </c>
      <c r="C20" s="1655">
        <f>C21+C22</f>
        <v>0</v>
      </c>
      <c r="D20" s="1655">
        <f>D21+D22</f>
        <v>0</v>
      </c>
      <c r="E20" s="1655">
        <f>E21+E22</f>
        <v>0</v>
      </c>
      <c r="F20" s="1655">
        <f>F21+F22</f>
        <v>0</v>
      </c>
    </row>
    <row r="21" spans="1:8" ht="15" hidden="1" customHeight="1" x14ac:dyDescent="0.25">
      <c r="A21" s="1649"/>
      <c r="B21" s="1650" t="s">
        <v>1967</v>
      </c>
      <c r="C21" s="1651">
        <f>E21</f>
        <v>0</v>
      </c>
      <c r="D21" s="1651"/>
      <c r="E21" s="1651">
        <f>F21</f>
        <v>0</v>
      </c>
      <c r="F21" s="1652"/>
    </row>
    <row r="22" spans="1:8" ht="15" hidden="1" customHeight="1" x14ac:dyDescent="0.25">
      <c r="A22" s="1649"/>
      <c r="B22" s="1650" t="s">
        <v>1959</v>
      </c>
      <c r="C22" s="1651">
        <f>E22</f>
        <v>0</v>
      </c>
      <c r="D22" s="1651"/>
      <c r="E22" s="1651">
        <f>F22</f>
        <v>0</v>
      </c>
      <c r="F22" s="1658"/>
    </row>
    <row r="23" spans="1:8" s="1400" customFormat="1" ht="25.8" customHeight="1" x14ac:dyDescent="0.3">
      <c r="A23" s="1653" t="s">
        <v>1960</v>
      </c>
      <c r="B23" s="1646" t="s">
        <v>393</v>
      </c>
      <c r="C23" s="1647">
        <f>D23</f>
        <v>54405536</v>
      </c>
      <c r="D23" s="1647">
        <f>D25+D32+D42+D43+D44+D29</f>
        <v>54405536</v>
      </c>
      <c r="E23" s="1648" t="e">
        <f>F23</f>
        <v>#REF!</v>
      </c>
      <c r="F23" s="1648" t="e">
        <f>#REF!+#REF!+#REF!+#REF!+#REF!+#REF!+#REF!+#REF!+#REF!+#REF!+#REF!+#REF!+#REF!+#REF!+#REF!+#REF!+#REF!+#REF!</f>
        <v>#REF!</v>
      </c>
      <c r="H23" s="1667"/>
    </row>
    <row r="24" spans="1:8" s="1588" customFormat="1" ht="13.8" hidden="1" x14ac:dyDescent="0.25">
      <c r="A24" s="1668"/>
      <c r="B24" s="1669" t="s">
        <v>1968</v>
      </c>
      <c r="C24" s="1670">
        <f t="shared" ref="C24:C47" si="0">D24</f>
        <v>0</v>
      </c>
      <c r="D24" s="1670">
        <f>3930200-3930200</f>
        <v>0</v>
      </c>
      <c r="E24" s="1671"/>
      <c r="F24" s="1671"/>
    </row>
    <row r="25" spans="1:8" s="1588" customFormat="1" ht="22.95" customHeight="1" x14ac:dyDescent="0.25">
      <c r="A25" s="1672" t="s">
        <v>1969</v>
      </c>
      <c r="B25" s="1673" t="s">
        <v>1970</v>
      </c>
      <c r="C25" s="1674">
        <f t="shared" si="0"/>
        <v>2950633</v>
      </c>
      <c r="D25" s="1674">
        <f>D26+D27+D28</f>
        <v>2950633</v>
      </c>
      <c r="E25" s="1675">
        <f>SUM(E26:E28)</f>
        <v>0</v>
      </c>
      <c r="F25" s="1675">
        <f>SUM(F26:F28)</f>
        <v>0</v>
      </c>
    </row>
    <row r="26" spans="1:8" s="1588" customFormat="1" ht="13.8" x14ac:dyDescent="0.25">
      <c r="A26" s="1668"/>
      <c r="B26" s="1676" t="s">
        <v>1971</v>
      </c>
      <c r="C26" s="1670">
        <f t="shared" si="0"/>
        <v>1907900</v>
      </c>
      <c r="D26" s="1670">
        <v>1907900</v>
      </c>
      <c r="E26" s="1671"/>
      <c r="F26" s="1671"/>
    </row>
    <row r="27" spans="1:8" s="1588" customFormat="1" ht="18" customHeight="1" x14ac:dyDescent="0.25">
      <c r="A27" s="1668"/>
      <c r="B27" s="1676" t="s">
        <v>1972</v>
      </c>
      <c r="C27" s="1670">
        <f t="shared" si="0"/>
        <v>495233</v>
      </c>
      <c r="D27" s="1670">
        <v>495233</v>
      </c>
      <c r="E27" s="1671"/>
      <c r="F27" s="1671"/>
    </row>
    <row r="28" spans="1:8" s="1588" customFormat="1" ht="13.8" x14ac:dyDescent="0.25">
      <c r="A28" s="1668"/>
      <c r="B28" s="1676" t="s">
        <v>1973</v>
      </c>
      <c r="C28" s="1670">
        <f t="shared" si="0"/>
        <v>547500</v>
      </c>
      <c r="D28" s="1670">
        <v>547500</v>
      </c>
      <c r="E28" s="1671"/>
      <c r="F28" s="1671"/>
    </row>
    <row r="29" spans="1:8" s="1588" customFormat="1" ht="19.8" customHeight="1" x14ac:dyDescent="0.25">
      <c r="A29" s="1672" t="s">
        <v>1974</v>
      </c>
      <c r="B29" s="1673" t="s">
        <v>1975</v>
      </c>
      <c r="C29" s="1674">
        <f>D29</f>
        <v>128600</v>
      </c>
      <c r="D29" s="1674">
        <f>SUM(D30:D31)</f>
        <v>128600</v>
      </c>
      <c r="E29" s="1671"/>
      <c r="F29" s="1671"/>
    </row>
    <row r="30" spans="1:8" s="1588" customFormat="1" ht="22.2" customHeight="1" x14ac:dyDescent="0.25">
      <c r="A30" s="1668"/>
      <c r="B30" s="1676" t="s">
        <v>1976</v>
      </c>
      <c r="C30" s="1670">
        <f>D30</f>
        <v>120000</v>
      </c>
      <c r="D30" s="1670">
        <v>120000</v>
      </c>
      <c r="E30" s="1671"/>
      <c r="F30" s="1671"/>
    </row>
    <row r="31" spans="1:8" s="1588" customFormat="1" ht="19.8" customHeight="1" x14ac:dyDescent="0.25">
      <c r="A31" s="1668"/>
      <c r="B31" s="1676" t="s">
        <v>1977</v>
      </c>
      <c r="C31" s="1670">
        <f>D31</f>
        <v>8600</v>
      </c>
      <c r="D31" s="1670">
        <v>8600</v>
      </c>
      <c r="E31" s="1671"/>
      <c r="F31" s="1671"/>
    </row>
    <row r="32" spans="1:8" s="1588" customFormat="1" ht="30.6" customHeight="1" x14ac:dyDescent="0.25">
      <c r="A32" s="1672" t="s">
        <v>1978</v>
      </c>
      <c r="B32" s="1677" t="s">
        <v>1979</v>
      </c>
      <c r="C32" s="1674">
        <f>D32</f>
        <v>22245417</v>
      </c>
      <c r="D32" s="1674">
        <f>D33+D35+D37+D38+D39+D40+D41+D36+D34</f>
        <v>22245417</v>
      </c>
      <c r="E32" s="1675">
        <f>SUM(E33:E41)</f>
        <v>0</v>
      </c>
      <c r="F32" s="1675">
        <f>SUM(F33:F41)</f>
        <v>0</v>
      </c>
    </row>
    <row r="33" spans="1:6" s="1588" customFormat="1" ht="26.4" x14ac:dyDescent="0.25">
      <c r="A33" s="1668"/>
      <c r="B33" s="1678" t="s">
        <v>1980</v>
      </c>
      <c r="C33" s="1670">
        <f t="shared" si="0"/>
        <v>13065037</v>
      </c>
      <c r="D33" s="1670">
        <v>13065037</v>
      </c>
      <c r="E33" s="1671"/>
      <c r="F33" s="1671"/>
    </row>
    <row r="34" spans="1:6" s="1588" customFormat="1" ht="21.6" customHeight="1" x14ac:dyDescent="0.25">
      <c r="A34" s="1668"/>
      <c r="B34" s="1678" t="s">
        <v>1981</v>
      </c>
      <c r="C34" s="1670">
        <f>D34</f>
        <v>2000000</v>
      </c>
      <c r="D34" s="1670">
        <v>2000000</v>
      </c>
      <c r="E34" s="1671"/>
      <c r="F34" s="1671"/>
    </row>
    <row r="35" spans="1:6" s="1588" customFormat="1" ht="42" customHeight="1" x14ac:dyDescent="0.25">
      <c r="A35" s="1668"/>
      <c r="B35" s="1678" t="s">
        <v>1982</v>
      </c>
      <c r="C35" s="1670">
        <f t="shared" si="0"/>
        <v>4102400</v>
      </c>
      <c r="D35" s="1679">
        <v>4102400</v>
      </c>
      <c r="E35" s="1671"/>
      <c r="F35" s="1671"/>
    </row>
    <row r="36" spans="1:6" s="1588" customFormat="1" ht="42" hidden="1" customHeight="1" x14ac:dyDescent="0.25">
      <c r="A36" s="1668"/>
      <c r="B36" s="1678" t="s">
        <v>1983</v>
      </c>
      <c r="C36" s="1670">
        <f t="shared" si="0"/>
        <v>0</v>
      </c>
      <c r="D36" s="1679"/>
      <c r="E36" s="1671"/>
      <c r="F36" s="1671"/>
    </row>
    <row r="37" spans="1:6" s="1588" customFormat="1" ht="35.4" customHeight="1" x14ac:dyDescent="0.25">
      <c r="A37" s="1668"/>
      <c r="B37" s="1678" t="s">
        <v>1984</v>
      </c>
      <c r="C37" s="1670">
        <f t="shared" si="0"/>
        <v>777480</v>
      </c>
      <c r="D37" s="1679">
        <v>777480</v>
      </c>
      <c r="E37" s="1671"/>
      <c r="F37" s="1671"/>
    </row>
    <row r="38" spans="1:6" s="1588" customFormat="1" ht="18.600000000000001" customHeight="1" x14ac:dyDescent="0.25">
      <c r="A38" s="1668"/>
      <c r="B38" s="1676" t="s">
        <v>1985</v>
      </c>
      <c r="C38" s="1670">
        <f t="shared" si="0"/>
        <v>312400</v>
      </c>
      <c r="D38" s="1679">
        <v>312400</v>
      </c>
      <c r="E38" s="1671"/>
      <c r="F38" s="1671"/>
    </row>
    <row r="39" spans="1:6" s="1588" customFormat="1" ht="21" customHeight="1" x14ac:dyDescent="0.25">
      <c r="A39" s="1668"/>
      <c r="B39" s="1676" t="s">
        <v>1986</v>
      </c>
      <c r="C39" s="1670">
        <f t="shared" si="0"/>
        <v>54000</v>
      </c>
      <c r="D39" s="1670">
        <v>54000</v>
      </c>
      <c r="E39" s="1671"/>
      <c r="F39" s="1671"/>
    </row>
    <row r="40" spans="1:6" s="1588" customFormat="1" ht="26.4" x14ac:dyDescent="0.25">
      <c r="A40" s="1668"/>
      <c r="B40" s="1678" t="s">
        <v>1987</v>
      </c>
      <c r="C40" s="1670">
        <f t="shared" si="0"/>
        <v>774100</v>
      </c>
      <c r="D40" s="1670">
        <v>774100</v>
      </c>
      <c r="E40" s="1671"/>
      <c r="F40" s="1671"/>
    </row>
    <row r="41" spans="1:6" s="1588" customFormat="1" ht="25.8" customHeight="1" x14ac:dyDescent="0.25">
      <c r="A41" s="1668"/>
      <c r="B41" s="1678" t="s">
        <v>1988</v>
      </c>
      <c r="C41" s="1670">
        <f t="shared" si="0"/>
        <v>1160000</v>
      </c>
      <c r="D41" s="1680">
        <v>1160000</v>
      </c>
      <c r="E41" s="1671"/>
      <c r="F41" s="1671"/>
    </row>
    <row r="42" spans="1:6" s="1588" customFormat="1" ht="35.4" customHeight="1" x14ac:dyDescent="0.25">
      <c r="A42" s="1672" t="s">
        <v>1978</v>
      </c>
      <c r="B42" s="1677" t="s">
        <v>1989</v>
      </c>
      <c r="C42" s="1674">
        <f>D42</f>
        <v>16674158</v>
      </c>
      <c r="D42" s="1674">
        <v>16674158</v>
      </c>
      <c r="E42" s="1671"/>
      <c r="F42" s="1671"/>
    </row>
    <row r="43" spans="1:6" s="1588" customFormat="1" ht="30" customHeight="1" x14ac:dyDescent="0.25">
      <c r="A43" s="1672" t="s">
        <v>1990</v>
      </c>
      <c r="B43" s="1673" t="s">
        <v>1991</v>
      </c>
      <c r="C43" s="1674">
        <f t="shared" si="0"/>
        <v>6764228</v>
      </c>
      <c r="D43" s="1674">
        <v>6764228</v>
      </c>
      <c r="E43" s="1675" t="e">
        <f>SUM(#REF!)</f>
        <v>#REF!</v>
      </c>
      <c r="F43" s="1675" t="e">
        <f>SUM(#REF!)</f>
        <v>#REF!</v>
      </c>
    </row>
    <row r="44" spans="1:6" s="1588" customFormat="1" ht="45" customHeight="1" x14ac:dyDescent="0.25">
      <c r="A44" s="1672" t="s">
        <v>1992</v>
      </c>
      <c r="B44" s="1677" t="s">
        <v>1993</v>
      </c>
      <c r="C44" s="1674">
        <f t="shared" si="0"/>
        <v>5642500</v>
      </c>
      <c r="D44" s="1674">
        <v>5642500</v>
      </c>
      <c r="E44" s="1675" t="e">
        <f>SUM(#REF!)</f>
        <v>#REF!</v>
      </c>
      <c r="F44" s="1675" t="e">
        <f>SUM(#REF!)</f>
        <v>#REF!</v>
      </c>
    </row>
    <row r="45" spans="1:6" s="1588" customFormat="1" ht="13.8" hidden="1" x14ac:dyDescent="0.25">
      <c r="A45" s="1681"/>
      <c r="B45" s="1682" t="s">
        <v>1994</v>
      </c>
      <c r="C45" s="1675">
        <f t="shared" si="0"/>
        <v>0</v>
      </c>
      <c r="D45" s="1675">
        <f>SUM(D46:D47)</f>
        <v>0</v>
      </c>
      <c r="E45" s="1675"/>
      <c r="F45" s="1675"/>
    </row>
    <row r="46" spans="1:6" s="1588" customFormat="1" ht="13.8" hidden="1" x14ac:dyDescent="0.25">
      <c r="A46" s="1681"/>
      <c r="B46" s="1669" t="s">
        <v>1995</v>
      </c>
      <c r="C46" s="1675">
        <f t="shared" si="0"/>
        <v>0</v>
      </c>
      <c r="D46" s="1683"/>
      <c r="E46" s="1683"/>
      <c r="F46" s="1683"/>
    </row>
    <row r="47" spans="1:6" s="1588" customFormat="1" ht="13.8" hidden="1" x14ac:dyDescent="0.25">
      <c r="A47" s="1681"/>
      <c r="B47" s="1669" t="s">
        <v>1996</v>
      </c>
      <c r="C47" s="1675">
        <f t="shared" si="0"/>
        <v>0</v>
      </c>
      <c r="D47" s="1683"/>
      <c r="E47" s="1683"/>
      <c r="F47" s="1683"/>
    </row>
    <row r="48" spans="1:6" ht="14.4" hidden="1" x14ac:dyDescent="0.25">
      <c r="A48" s="1684" t="s">
        <v>1997</v>
      </c>
      <c r="B48" s="1685" t="s">
        <v>1998</v>
      </c>
      <c r="C48" s="1686">
        <f>D48</f>
        <v>0</v>
      </c>
      <c r="D48" s="1686">
        <f>D49+D50</f>
        <v>0</v>
      </c>
      <c r="E48" s="1687">
        <f>E49+E50</f>
        <v>0</v>
      </c>
      <c r="F48" s="1687">
        <f>F49+F50</f>
        <v>0</v>
      </c>
    </row>
    <row r="49" spans="1:8" ht="14.4" hidden="1" x14ac:dyDescent="0.25">
      <c r="A49" s="1684"/>
      <c r="B49" s="1688" t="s">
        <v>1999</v>
      </c>
      <c r="C49" s="1680">
        <f>D49</f>
        <v>0</v>
      </c>
      <c r="D49" s="1680"/>
      <c r="E49" s="1689"/>
      <c r="F49" s="1689"/>
    </row>
    <row r="50" spans="1:8" ht="13.8" hidden="1" x14ac:dyDescent="0.25">
      <c r="A50" s="1690"/>
      <c r="B50" s="1688" t="s">
        <v>1996</v>
      </c>
      <c r="C50" s="1680">
        <f>D50</f>
        <v>0</v>
      </c>
      <c r="D50" s="1680"/>
      <c r="E50" s="1689"/>
      <c r="F50" s="1689"/>
    </row>
    <row r="51" spans="1:8" s="1430" customFormat="1" ht="25.8" customHeight="1" x14ac:dyDescent="0.3">
      <c r="A51" s="1653" t="s">
        <v>1966</v>
      </c>
      <c r="B51" s="1646" t="s">
        <v>1721</v>
      </c>
      <c r="C51" s="1691">
        <f>C52</f>
        <v>114543</v>
      </c>
      <c r="D51" s="1691">
        <f>D52</f>
        <v>114543</v>
      </c>
      <c r="E51" s="1691">
        <f>E52</f>
        <v>0</v>
      </c>
      <c r="F51" s="1691">
        <f>F52</f>
        <v>0</v>
      </c>
    </row>
    <row r="52" spans="1:8" ht="21.6" customHeight="1" x14ac:dyDescent="0.25">
      <c r="A52" s="1684"/>
      <c r="B52" s="1692" t="s">
        <v>2000</v>
      </c>
      <c r="C52" s="1693">
        <f>D52</f>
        <v>114543</v>
      </c>
      <c r="D52" s="1693">
        <v>114543</v>
      </c>
      <c r="E52" s="1693"/>
      <c r="F52" s="1693"/>
    </row>
    <row r="53" spans="1:8" s="1400" customFormat="1" ht="30" hidden="1" customHeight="1" x14ac:dyDescent="0.3">
      <c r="A53" s="1653" t="s">
        <v>2001</v>
      </c>
      <c r="B53" s="1646" t="s">
        <v>406</v>
      </c>
      <c r="C53" s="1694">
        <f>D53+E53</f>
        <v>0</v>
      </c>
      <c r="D53" s="1694">
        <f>D54+D56+D57+D58</f>
        <v>0</v>
      </c>
      <c r="E53" s="1694">
        <f>F53</f>
        <v>0</v>
      </c>
      <c r="F53" s="1694"/>
    </row>
    <row r="54" spans="1:8" s="1588" customFormat="1" ht="19.95" hidden="1" customHeight="1" x14ac:dyDescent="0.25">
      <c r="A54" s="1672"/>
      <c r="B54" s="1673"/>
      <c r="C54" s="1674">
        <f t="shared" ref="C54:C60" si="1">D54</f>
        <v>0</v>
      </c>
      <c r="D54" s="1674">
        <f>D55</f>
        <v>0</v>
      </c>
      <c r="E54" s="1675"/>
      <c r="F54" s="1675"/>
    </row>
    <row r="55" spans="1:8" ht="13.8" hidden="1" x14ac:dyDescent="0.25">
      <c r="A55" s="1695"/>
      <c r="B55" s="1678"/>
      <c r="C55" s="1680">
        <f t="shared" si="1"/>
        <v>0</v>
      </c>
      <c r="D55" s="1670"/>
      <c r="E55" s="1696"/>
      <c r="F55" s="1696"/>
    </row>
    <row r="56" spans="1:8" ht="14.4" hidden="1" x14ac:dyDescent="0.25">
      <c r="A56" s="1684"/>
      <c r="B56" s="1697"/>
      <c r="C56" s="1686">
        <f t="shared" si="1"/>
        <v>0</v>
      </c>
      <c r="D56" s="1686"/>
      <c r="E56" s="1687"/>
      <c r="F56" s="1687"/>
    </row>
    <row r="57" spans="1:8" ht="14.4" hidden="1" x14ac:dyDescent="0.25">
      <c r="A57" s="1684"/>
      <c r="B57" s="1698"/>
      <c r="C57" s="1686">
        <f t="shared" si="1"/>
        <v>0</v>
      </c>
      <c r="D57" s="1674"/>
      <c r="E57" s="1675"/>
      <c r="F57" s="1675"/>
    </row>
    <row r="58" spans="1:8" ht="14.4" hidden="1" x14ac:dyDescent="0.25">
      <c r="A58" s="1684"/>
      <c r="B58" s="1698"/>
      <c r="C58" s="1686">
        <f t="shared" si="1"/>
        <v>0</v>
      </c>
      <c r="D58" s="1674"/>
      <c r="E58" s="1675"/>
      <c r="F58" s="1675"/>
    </row>
    <row r="59" spans="1:8" ht="31.2" x14ac:dyDescent="0.3">
      <c r="A59" s="1699">
        <v>2</v>
      </c>
      <c r="B59" s="1700" t="s">
        <v>2002</v>
      </c>
      <c r="C59" s="1701">
        <f t="shared" si="1"/>
        <v>118432647</v>
      </c>
      <c r="D59" s="1701">
        <f>D60+D85</f>
        <v>118432647</v>
      </c>
      <c r="E59" s="1687" t="e">
        <f>F59</f>
        <v>#REF!</v>
      </c>
      <c r="F59" s="1687" t="e">
        <f>F60+F85</f>
        <v>#REF!</v>
      </c>
    </row>
    <row r="60" spans="1:8" s="1400" customFormat="1" ht="25.8" customHeight="1" x14ac:dyDescent="0.3">
      <c r="A60" s="1653" t="s">
        <v>2003</v>
      </c>
      <c r="B60" s="1646" t="s">
        <v>393</v>
      </c>
      <c r="C60" s="1694">
        <f t="shared" si="1"/>
        <v>116404933</v>
      </c>
      <c r="D60" s="1694">
        <f>D61+D67+I72+D70+D74+D80+D73</f>
        <v>116404933</v>
      </c>
      <c r="E60" s="1694" t="e">
        <f>F60</f>
        <v>#REF!</v>
      </c>
      <c r="F60" s="1694" t="e">
        <f>F61+#REF!+#REF!+#REF!+#REF!+#REF!+#REF!+#REF!</f>
        <v>#REF!</v>
      </c>
      <c r="H60" s="1667"/>
    </row>
    <row r="61" spans="1:8" ht="27.6" x14ac:dyDescent="0.25">
      <c r="A61" s="1672" t="s">
        <v>2004</v>
      </c>
      <c r="B61" s="1673" t="s">
        <v>2005</v>
      </c>
      <c r="C61" s="1686">
        <f>SUM(C62:C66)</f>
        <v>49495291</v>
      </c>
      <c r="D61" s="1686">
        <f>SUM(D62:D66)</f>
        <v>49495291</v>
      </c>
      <c r="E61" s="1675"/>
      <c r="F61" s="1675"/>
      <c r="H61" s="1702"/>
    </row>
    <row r="62" spans="1:8" ht="26.4" x14ac:dyDescent="0.25">
      <c r="A62" s="1668"/>
      <c r="B62" s="1676" t="s">
        <v>2006</v>
      </c>
      <c r="C62" s="1670">
        <f>D62</f>
        <v>11000000</v>
      </c>
      <c r="D62" s="1670">
        <f>8000000+3000000</f>
        <v>11000000</v>
      </c>
      <c r="E62" s="1675"/>
      <c r="F62" s="1675"/>
    </row>
    <row r="63" spans="1:8" ht="26.4" x14ac:dyDescent="0.25">
      <c r="A63" s="1703"/>
      <c r="B63" s="1692" t="s">
        <v>2007</v>
      </c>
      <c r="C63" s="1670">
        <f>D63</f>
        <v>2795700</v>
      </c>
      <c r="D63" s="1680">
        <v>2795700</v>
      </c>
      <c r="E63" s="1687"/>
      <c r="F63" s="1687"/>
    </row>
    <row r="64" spans="1:8" ht="24" customHeight="1" x14ac:dyDescent="0.25">
      <c r="A64" s="1703"/>
      <c r="B64" s="1688" t="s">
        <v>2008</v>
      </c>
      <c r="C64" s="1670">
        <f>D64</f>
        <v>7704300</v>
      </c>
      <c r="D64" s="1680">
        <v>7704300</v>
      </c>
      <c r="E64" s="1687"/>
      <c r="F64" s="1687"/>
    </row>
    <row r="65" spans="1:8" ht="18.600000000000001" customHeight="1" x14ac:dyDescent="0.25">
      <c r="A65" s="1703"/>
      <c r="B65" s="1692" t="s">
        <v>2009</v>
      </c>
      <c r="C65" s="1670">
        <f>D65</f>
        <v>23417255</v>
      </c>
      <c r="D65" s="1704">
        <v>23417255</v>
      </c>
      <c r="E65" s="1687"/>
      <c r="F65" s="1687"/>
    </row>
    <row r="66" spans="1:8" ht="21" customHeight="1" x14ac:dyDescent="0.25">
      <c r="A66" s="1703"/>
      <c r="B66" s="1692" t="s">
        <v>2010</v>
      </c>
      <c r="C66" s="1670">
        <f>D66</f>
        <v>4578036</v>
      </c>
      <c r="D66" s="1704">
        <v>4578036</v>
      </c>
      <c r="E66" s="1687"/>
      <c r="F66" s="1687"/>
      <c r="H66" s="1702"/>
    </row>
    <row r="67" spans="1:8" ht="21" customHeight="1" x14ac:dyDescent="0.25">
      <c r="A67" s="1684" t="s">
        <v>2011</v>
      </c>
      <c r="B67" s="1685" t="s">
        <v>2012</v>
      </c>
      <c r="C67" s="1686">
        <f>C68+C69</f>
        <v>1807541</v>
      </c>
      <c r="D67" s="1686">
        <f>D68+D69</f>
        <v>1807541</v>
      </c>
      <c r="E67" s="1687"/>
      <c r="F67" s="1687"/>
      <c r="H67" s="1702"/>
    </row>
    <row r="68" spans="1:8" ht="21" customHeight="1" x14ac:dyDescent="0.25">
      <c r="A68" s="1703"/>
      <c r="B68" s="1692" t="s">
        <v>2013</v>
      </c>
      <c r="C68" s="1680">
        <f>D68</f>
        <v>1675046</v>
      </c>
      <c r="D68" s="1705">
        <v>1675046</v>
      </c>
      <c r="E68" s="1687"/>
      <c r="F68" s="1687"/>
      <c r="H68" s="1702"/>
    </row>
    <row r="69" spans="1:8" ht="21" customHeight="1" x14ac:dyDescent="0.25">
      <c r="A69" s="1703"/>
      <c r="B69" s="1692" t="s">
        <v>2014</v>
      </c>
      <c r="C69" s="1680">
        <f>D69</f>
        <v>132495</v>
      </c>
      <c r="D69" s="1705">
        <v>132495</v>
      </c>
      <c r="E69" s="1687"/>
      <c r="F69" s="1687"/>
      <c r="H69" s="1702"/>
    </row>
    <row r="70" spans="1:8" ht="24" customHeight="1" x14ac:dyDescent="0.25">
      <c r="A70" s="1684" t="s">
        <v>2015</v>
      </c>
      <c r="B70" s="1685" t="s">
        <v>2016</v>
      </c>
      <c r="C70" s="1686">
        <f>C71+C72</f>
        <v>46200000</v>
      </c>
      <c r="D70" s="1686">
        <f>D71+D72</f>
        <v>46200000</v>
      </c>
      <c r="E70" s="1687"/>
      <c r="F70" s="1687"/>
      <c r="H70" s="1702"/>
    </row>
    <row r="71" spans="1:8" ht="27" customHeight="1" x14ac:dyDescent="0.25">
      <c r="A71" s="1684"/>
      <c r="B71" s="1688" t="s">
        <v>2017</v>
      </c>
      <c r="C71" s="1680">
        <f>D71</f>
        <v>44561741</v>
      </c>
      <c r="D71" s="1705">
        <v>44561741</v>
      </c>
      <c r="E71" s="1687"/>
      <c r="F71" s="1687"/>
    </row>
    <row r="72" spans="1:8" ht="27" customHeight="1" x14ac:dyDescent="0.25">
      <c r="A72" s="1684"/>
      <c r="B72" s="1688" t="s">
        <v>2018</v>
      </c>
      <c r="C72" s="1680">
        <f>D72</f>
        <v>1638259</v>
      </c>
      <c r="D72" s="1705">
        <v>1638259</v>
      </c>
      <c r="E72" s="1687"/>
      <c r="F72" s="1687"/>
      <c r="H72" s="1702"/>
    </row>
    <row r="73" spans="1:8" ht="27" customHeight="1" x14ac:dyDescent="0.25">
      <c r="A73" s="1684" t="s">
        <v>2019</v>
      </c>
      <c r="B73" s="1697" t="s">
        <v>2020</v>
      </c>
      <c r="C73" s="1686">
        <f>D73</f>
        <v>56000</v>
      </c>
      <c r="D73" s="1706">
        <v>56000</v>
      </c>
      <c r="E73" s="1687"/>
      <c r="F73" s="1687"/>
      <c r="H73" s="1702"/>
    </row>
    <row r="74" spans="1:8" ht="27" customHeight="1" x14ac:dyDescent="0.25">
      <c r="A74" s="1684" t="s">
        <v>2021</v>
      </c>
      <c r="B74" s="1685" t="s">
        <v>2022</v>
      </c>
      <c r="C74" s="1686">
        <f t="shared" ref="C74:C79" si="2">D74</f>
        <v>13586450</v>
      </c>
      <c r="D74" s="1686">
        <f>D75+D78+D76+D77+D79</f>
        <v>13586450</v>
      </c>
      <c r="E74" s="1687"/>
      <c r="F74" s="1687"/>
      <c r="H74" s="1702"/>
    </row>
    <row r="75" spans="1:8" ht="18.600000000000001" customHeight="1" x14ac:dyDescent="0.25">
      <c r="A75" s="1684"/>
      <c r="B75" s="1692" t="s">
        <v>2023</v>
      </c>
      <c r="C75" s="1680">
        <f t="shared" si="2"/>
        <v>1297043</v>
      </c>
      <c r="D75" s="1680">
        <v>1297043</v>
      </c>
      <c r="E75" s="1687"/>
      <c r="F75" s="1687"/>
      <c r="H75" s="1702"/>
    </row>
    <row r="76" spans="1:8" ht="29.4" customHeight="1" x14ac:dyDescent="0.25">
      <c r="A76" s="1703"/>
      <c r="B76" s="1707" t="s">
        <v>2024</v>
      </c>
      <c r="C76" s="1680">
        <f t="shared" si="2"/>
        <v>7391130</v>
      </c>
      <c r="D76" s="1680">
        <v>7391130</v>
      </c>
      <c r="E76" s="1687"/>
      <c r="F76" s="1687"/>
      <c r="H76" s="1702"/>
    </row>
    <row r="77" spans="1:8" ht="23.4" customHeight="1" x14ac:dyDescent="0.25">
      <c r="A77" s="1690"/>
      <c r="B77" s="1692" t="s">
        <v>2025</v>
      </c>
      <c r="C77" s="1680">
        <f t="shared" si="2"/>
        <v>633750</v>
      </c>
      <c r="D77" s="1680">
        <v>633750</v>
      </c>
      <c r="E77" s="1687"/>
      <c r="F77" s="1687"/>
      <c r="H77" s="1702"/>
    </row>
    <row r="78" spans="1:8" ht="24.6" customHeight="1" x14ac:dyDescent="0.25">
      <c r="A78" s="1690"/>
      <c r="B78" s="1692" t="s">
        <v>2026</v>
      </c>
      <c r="C78" s="1680">
        <f t="shared" si="2"/>
        <v>3509257</v>
      </c>
      <c r="D78" s="1680">
        <v>3509257</v>
      </c>
      <c r="E78" s="1687"/>
      <c r="F78" s="1687"/>
      <c r="H78" s="1702"/>
    </row>
    <row r="79" spans="1:8" ht="27" customHeight="1" x14ac:dyDescent="0.25">
      <c r="A79" s="1690"/>
      <c r="B79" s="1692" t="s">
        <v>2027</v>
      </c>
      <c r="C79" s="1680">
        <f t="shared" si="2"/>
        <v>755270</v>
      </c>
      <c r="D79" s="1680">
        <v>755270</v>
      </c>
      <c r="E79" s="1687"/>
      <c r="F79" s="1687"/>
      <c r="H79" s="1702"/>
    </row>
    <row r="80" spans="1:8" ht="22.2" customHeight="1" x14ac:dyDescent="0.25">
      <c r="A80" s="1672" t="s">
        <v>2028</v>
      </c>
      <c r="B80" s="1673" t="s">
        <v>2029</v>
      </c>
      <c r="C80" s="1674">
        <f>D80</f>
        <v>5259651</v>
      </c>
      <c r="D80" s="1674">
        <f>D81+D82+D83+D84</f>
        <v>5259651</v>
      </c>
      <c r="E80" s="1675"/>
      <c r="F80" s="1675"/>
      <c r="H80" s="1702"/>
    </row>
    <row r="81" spans="1:8" ht="22.2" customHeight="1" x14ac:dyDescent="0.25">
      <c r="A81" s="1672"/>
      <c r="B81" s="1676" t="s">
        <v>2030</v>
      </c>
      <c r="C81" s="1670">
        <f>D81</f>
        <v>100000</v>
      </c>
      <c r="D81" s="1670">
        <v>100000</v>
      </c>
      <c r="E81" s="1675"/>
      <c r="F81" s="1675"/>
      <c r="H81" s="1702"/>
    </row>
    <row r="82" spans="1:8" ht="33" customHeight="1" x14ac:dyDescent="0.25">
      <c r="A82" s="1668"/>
      <c r="B82" s="1676" t="s">
        <v>2031</v>
      </c>
      <c r="C82" s="1670">
        <f>D82</f>
        <v>4371247</v>
      </c>
      <c r="D82" s="1670">
        <v>4371247</v>
      </c>
      <c r="E82" s="1675"/>
      <c r="F82" s="1675"/>
    </row>
    <row r="83" spans="1:8" ht="28.8" customHeight="1" x14ac:dyDescent="0.25">
      <c r="A83" s="1703"/>
      <c r="B83" s="1692" t="s">
        <v>2032</v>
      </c>
      <c r="C83" s="1680">
        <f>D83</f>
        <v>788404</v>
      </c>
      <c r="D83" s="1680">
        <v>788404</v>
      </c>
      <c r="E83" s="1687"/>
      <c r="F83" s="1687"/>
    </row>
    <row r="84" spans="1:8" ht="7.2" hidden="1" customHeight="1" x14ac:dyDescent="0.25">
      <c r="A84" s="1703"/>
      <c r="B84" s="1692" t="s">
        <v>2033</v>
      </c>
      <c r="C84" s="1680">
        <f>D84</f>
        <v>0</v>
      </c>
      <c r="D84" s="1680"/>
      <c r="E84" s="1687"/>
      <c r="F84" s="1687"/>
    </row>
    <row r="85" spans="1:8" s="1400" customFormat="1" ht="31.2" customHeight="1" x14ac:dyDescent="0.3">
      <c r="A85" s="1708" t="s">
        <v>2034</v>
      </c>
      <c r="B85" s="1709" t="s">
        <v>406</v>
      </c>
      <c r="C85" s="1691">
        <f>C86</f>
        <v>2027714</v>
      </c>
      <c r="D85" s="1691">
        <f>D86</f>
        <v>2027714</v>
      </c>
      <c r="E85" s="1694"/>
      <c r="F85" s="1694"/>
    </row>
    <row r="86" spans="1:8" s="1123" customFormat="1" ht="19.2" customHeight="1" x14ac:dyDescent="0.25">
      <c r="A86" s="1672"/>
      <c r="B86" s="1673" t="s">
        <v>2035</v>
      </c>
      <c r="C86" s="1710">
        <f>C87</f>
        <v>2027714</v>
      </c>
      <c r="D86" s="1710">
        <f>D87</f>
        <v>2027714</v>
      </c>
      <c r="E86" s="1675"/>
      <c r="F86" s="1675"/>
    </row>
    <row r="87" spans="1:8" s="1123" customFormat="1" ht="42" customHeight="1" x14ac:dyDescent="0.25">
      <c r="A87" s="1672"/>
      <c r="B87" s="1678" t="s">
        <v>2036</v>
      </c>
      <c r="C87" s="1711">
        <f>D87</f>
        <v>2027714</v>
      </c>
      <c r="D87" s="1711">
        <v>2027714</v>
      </c>
      <c r="E87" s="1675"/>
      <c r="F87" s="1675"/>
    </row>
    <row r="88" spans="1:8" s="1400" customFormat="1" ht="15.6" x14ac:dyDescent="0.3">
      <c r="A88" s="2019" t="s">
        <v>1942</v>
      </c>
      <c r="B88" s="2019"/>
      <c r="C88" s="1701">
        <f>D88</f>
        <v>210594280</v>
      </c>
      <c r="D88" s="1701">
        <f>D9+D59</f>
        <v>210594280</v>
      </c>
      <c r="E88" s="1701" t="e">
        <f>E9+E59</f>
        <v>#REF!</v>
      </c>
      <c r="F88" s="1701" t="e">
        <f>F9+F59</f>
        <v>#REF!</v>
      </c>
    </row>
    <row r="90" spans="1:8" x14ac:dyDescent="0.25">
      <c r="D90" s="1076"/>
    </row>
    <row r="91" spans="1:8" s="1712" customFormat="1" ht="16.8" x14ac:dyDescent="0.3">
      <c r="B91" s="1712" t="s">
        <v>2037</v>
      </c>
      <c r="D91" s="1712" t="s">
        <v>682</v>
      </c>
      <c r="E91" s="1713"/>
      <c r="F91" s="1713"/>
    </row>
    <row r="92" spans="1:8" x14ac:dyDescent="0.25">
      <c r="F92" s="1702"/>
    </row>
    <row r="93" spans="1:8" x14ac:dyDescent="0.25">
      <c r="B93" s="1637"/>
      <c r="C93" s="1714"/>
      <c r="D93" s="1714"/>
      <c r="F93" s="1702"/>
    </row>
    <row r="94" spans="1:8" x14ac:dyDescent="0.25">
      <c r="B94" s="1637"/>
      <c r="C94" s="1714"/>
      <c r="D94" s="1714"/>
      <c r="F94" s="1702"/>
    </row>
    <row r="95" spans="1:8" x14ac:dyDescent="0.25">
      <c r="B95" s="1637"/>
      <c r="C95" s="1714"/>
      <c r="D95" s="1714"/>
      <c r="F95" s="1702"/>
    </row>
    <row r="96" spans="1:8" x14ac:dyDescent="0.25">
      <c r="B96" s="1637"/>
      <c r="C96" s="1714"/>
      <c r="D96" s="1714"/>
    </row>
    <row r="97" spans="2:4" x14ac:dyDescent="0.25">
      <c r="B97" s="1637"/>
      <c r="C97" s="1714"/>
      <c r="D97" s="1714"/>
    </row>
    <row r="98" spans="2:4" x14ac:dyDescent="0.25">
      <c r="D98" s="1714"/>
    </row>
    <row r="99" spans="2:4" x14ac:dyDescent="0.25">
      <c r="D99" s="1714"/>
    </row>
    <row r="100" spans="2:4" x14ac:dyDescent="0.25">
      <c r="C100" s="1715"/>
    </row>
    <row r="101" spans="2:4" x14ac:dyDescent="0.25">
      <c r="C101" s="1714"/>
      <c r="D101" s="1714"/>
    </row>
    <row r="102" spans="2:4" x14ac:dyDescent="0.25">
      <c r="C102" s="1716"/>
      <c r="D102" s="1714"/>
    </row>
    <row r="103" spans="2:4" x14ac:dyDescent="0.25">
      <c r="C103" s="1715"/>
    </row>
    <row r="104" spans="2:4" x14ac:dyDescent="0.25">
      <c r="C104" s="1716"/>
    </row>
    <row r="105" spans="2:4" x14ac:dyDescent="0.25">
      <c r="D105" s="1714"/>
    </row>
    <row r="106" spans="2:4" x14ac:dyDescent="0.25">
      <c r="D106" s="1714"/>
    </row>
    <row r="107" spans="2:4" x14ac:dyDescent="0.25">
      <c r="C107" s="1715"/>
    </row>
    <row r="108" spans="2:4" x14ac:dyDescent="0.25">
      <c r="C108" s="1714"/>
      <c r="D108" s="1714"/>
    </row>
    <row r="109" spans="2:4" x14ac:dyDescent="0.25">
      <c r="C109" s="1716"/>
      <c r="D109" s="1714"/>
    </row>
  </sheetData>
  <mergeCells count="11">
    <mergeCell ref="A88:B88"/>
    <mergeCell ref="C1:D1"/>
    <mergeCell ref="E1:F1"/>
    <mergeCell ref="A3:F3"/>
    <mergeCell ref="A5:C5"/>
    <mergeCell ref="A6:C6"/>
    <mergeCell ref="A7:A8"/>
    <mergeCell ref="B7:B8"/>
    <mergeCell ref="C7:C8"/>
    <mergeCell ref="D7:D8"/>
    <mergeCell ref="E7:E8"/>
  </mergeCells>
  <pageMargins left="0.49" right="0.28999999999999998" top="0.37" bottom="0.47" header="0.32" footer="0.31496062992125984"/>
  <pageSetup paperSize="9" scale="8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1"/>
  <sheetViews>
    <sheetView view="pageBreakPreview" topLeftCell="A3" zoomScaleNormal="100" zoomScaleSheetLayoutView="100" workbookViewId="0">
      <selection activeCell="F69" sqref="F69"/>
    </sheetView>
  </sheetViews>
  <sheetFormatPr defaultColWidth="9.33203125" defaultRowHeight="13.2" x14ac:dyDescent="0.25"/>
  <cols>
    <col min="1" max="1" width="8" style="1717" customWidth="1"/>
    <col min="2" max="2" width="130.44140625" style="1717" customWidth="1"/>
    <col min="3" max="3" width="22.21875" style="1717" customWidth="1"/>
    <col min="4" max="4" width="20.44140625" style="1717" customWidth="1"/>
    <col min="5" max="6" width="22.21875" style="1717" hidden="1" customWidth="1"/>
    <col min="7" max="256" width="9.33203125" style="1717"/>
    <col min="257" max="257" width="8" style="1717" customWidth="1"/>
    <col min="258" max="258" width="130.44140625" style="1717" customWidth="1"/>
    <col min="259" max="259" width="22.21875" style="1717" customWidth="1"/>
    <col min="260" max="260" width="20.44140625" style="1717" customWidth="1"/>
    <col min="261" max="262" width="0" style="1717" hidden="1" customWidth="1"/>
    <col min="263" max="512" width="9.33203125" style="1717"/>
    <col min="513" max="513" width="8" style="1717" customWidth="1"/>
    <col min="514" max="514" width="130.44140625" style="1717" customWidth="1"/>
    <col min="515" max="515" width="22.21875" style="1717" customWidth="1"/>
    <col min="516" max="516" width="20.44140625" style="1717" customWidth="1"/>
    <col min="517" max="518" width="0" style="1717" hidden="1" customWidth="1"/>
    <col min="519" max="768" width="9.33203125" style="1717"/>
    <col min="769" max="769" width="8" style="1717" customWidth="1"/>
    <col min="770" max="770" width="130.44140625" style="1717" customWidth="1"/>
    <col min="771" max="771" width="22.21875" style="1717" customWidth="1"/>
    <col min="772" max="772" width="20.44140625" style="1717" customWidth="1"/>
    <col min="773" max="774" width="0" style="1717" hidden="1" customWidth="1"/>
    <col min="775" max="1024" width="9.33203125" style="1717"/>
    <col min="1025" max="1025" width="8" style="1717" customWidth="1"/>
    <col min="1026" max="1026" width="130.44140625" style="1717" customWidth="1"/>
    <col min="1027" max="1027" width="22.21875" style="1717" customWidth="1"/>
    <col min="1028" max="1028" width="20.44140625" style="1717" customWidth="1"/>
    <col min="1029" max="1030" width="0" style="1717" hidden="1" customWidth="1"/>
    <col min="1031" max="1280" width="9.33203125" style="1717"/>
    <col min="1281" max="1281" width="8" style="1717" customWidth="1"/>
    <col min="1282" max="1282" width="130.44140625" style="1717" customWidth="1"/>
    <col min="1283" max="1283" width="22.21875" style="1717" customWidth="1"/>
    <col min="1284" max="1284" width="20.44140625" style="1717" customWidth="1"/>
    <col min="1285" max="1286" width="0" style="1717" hidden="1" customWidth="1"/>
    <col min="1287" max="1536" width="9.33203125" style="1717"/>
    <col min="1537" max="1537" width="8" style="1717" customWidth="1"/>
    <col min="1538" max="1538" width="130.44140625" style="1717" customWidth="1"/>
    <col min="1539" max="1539" width="22.21875" style="1717" customWidth="1"/>
    <col min="1540" max="1540" width="20.44140625" style="1717" customWidth="1"/>
    <col min="1541" max="1542" width="0" style="1717" hidden="1" customWidth="1"/>
    <col min="1543" max="1792" width="9.33203125" style="1717"/>
    <col min="1793" max="1793" width="8" style="1717" customWidth="1"/>
    <col min="1794" max="1794" width="130.44140625" style="1717" customWidth="1"/>
    <col min="1795" max="1795" width="22.21875" style="1717" customWidth="1"/>
    <col min="1796" max="1796" width="20.44140625" style="1717" customWidth="1"/>
    <col min="1797" max="1798" width="0" style="1717" hidden="1" customWidth="1"/>
    <col min="1799" max="2048" width="9.33203125" style="1717"/>
    <col min="2049" max="2049" width="8" style="1717" customWidth="1"/>
    <col min="2050" max="2050" width="130.44140625" style="1717" customWidth="1"/>
    <col min="2051" max="2051" width="22.21875" style="1717" customWidth="1"/>
    <col min="2052" max="2052" width="20.44140625" style="1717" customWidth="1"/>
    <col min="2053" max="2054" width="0" style="1717" hidden="1" customWidth="1"/>
    <col min="2055" max="2304" width="9.33203125" style="1717"/>
    <col min="2305" max="2305" width="8" style="1717" customWidth="1"/>
    <col min="2306" max="2306" width="130.44140625" style="1717" customWidth="1"/>
    <col min="2307" max="2307" width="22.21875" style="1717" customWidth="1"/>
    <col min="2308" max="2308" width="20.44140625" style="1717" customWidth="1"/>
    <col min="2309" max="2310" width="0" style="1717" hidden="1" customWidth="1"/>
    <col min="2311" max="2560" width="9.33203125" style="1717"/>
    <col min="2561" max="2561" width="8" style="1717" customWidth="1"/>
    <col min="2562" max="2562" width="130.44140625" style="1717" customWidth="1"/>
    <col min="2563" max="2563" width="22.21875" style="1717" customWidth="1"/>
    <col min="2564" max="2564" width="20.44140625" style="1717" customWidth="1"/>
    <col min="2565" max="2566" width="0" style="1717" hidden="1" customWidth="1"/>
    <col min="2567" max="2816" width="9.33203125" style="1717"/>
    <col min="2817" max="2817" width="8" style="1717" customWidth="1"/>
    <col min="2818" max="2818" width="130.44140625" style="1717" customWidth="1"/>
    <col min="2819" max="2819" width="22.21875" style="1717" customWidth="1"/>
    <col min="2820" max="2820" width="20.44140625" style="1717" customWidth="1"/>
    <col min="2821" max="2822" width="0" style="1717" hidden="1" customWidth="1"/>
    <col min="2823" max="3072" width="9.33203125" style="1717"/>
    <col min="3073" max="3073" width="8" style="1717" customWidth="1"/>
    <col min="3074" max="3074" width="130.44140625" style="1717" customWidth="1"/>
    <col min="3075" max="3075" width="22.21875" style="1717" customWidth="1"/>
    <col min="3076" max="3076" width="20.44140625" style="1717" customWidth="1"/>
    <col min="3077" max="3078" width="0" style="1717" hidden="1" customWidth="1"/>
    <col min="3079" max="3328" width="9.33203125" style="1717"/>
    <col min="3329" max="3329" width="8" style="1717" customWidth="1"/>
    <col min="3330" max="3330" width="130.44140625" style="1717" customWidth="1"/>
    <col min="3331" max="3331" width="22.21875" style="1717" customWidth="1"/>
    <col min="3332" max="3332" width="20.44140625" style="1717" customWidth="1"/>
    <col min="3333" max="3334" width="0" style="1717" hidden="1" customWidth="1"/>
    <col min="3335" max="3584" width="9.33203125" style="1717"/>
    <col min="3585" max="3585" width="8" style="1717" customWidth="1"/>
    <col min="3586" max="3586" width="130.44140625" style="1717" customWidth="1"/>
    <col min="3587" max="3587" width="22.21875" style="1717" customWidth="1"/>
    <col min="3588" max="3588" width="20.44140625" style="1717" customWidth="1"/>
    <col min="3589" max="3590" width="0" style="1717" hidden="1" customWidth="1"/>
    <col min="3591" max="3840" width="9.33203125" style="1717"/>
    <col min="3841" max="3841" width="8" style="1717" customWidth="1"/>
    <col min="3842" max="3842" width="130.44140625" style="1717" customWidth="1"/>
    <col min="3843" max="3843" width="22.21875" style="1717" customWidth="1"/>
    <col min="3844" max="3844" width="20.44140625" style="1717" customWidth="1"/>
    <col min="3845" max="3846" width="0" style="1717" hidden="1" customWidth="1"/>
    <col min="3847" max="4096" width="9.33203125" style="1717"/>
    <col min="4097" max="4097" width="8" style="1717" customWidth="1"/>
    <col min="4098" max="4098" width="130.44140625" style="1717" customWidth="1"/>
    <col min="4099" max="4099" width="22.21875" style="1717" customWidth="1"/>
    <col min="4100" max="4100" width="20.44140625" style="1717" customWidth="1"/>
    <col min="4101" max="4102" width="0" style="1717" hidden="1" customWidth="1"/>
    <col min="4103" max="4352" width="9.33203125" style="1717"/>
    <col min="4353" max="4353" width="8" style="1717" customWidth="1"/>
    <col min="4354" max="4354" width="130.44140625" style="1717" customWidth="1"/>
    <col min="4355" max="4355" width="22.21875" style="1717" customWidth="1"/>
    <col min="4356" max="4356" width="20.44140625" style="1717" customWidth="1"/>
    <col min="4357" max="4358" width="0" style="1717" hidden="1" customWidth="1"/>
    <col min="4359" max="4608" width="9.33203125" style="1717"/>
    <col min="4609" max="4609" width="8" style="1717" customWidth="1"/>
    <col min="4610" max="4610" width="130.44140625" style="1717" customWidth="1"/>
    <col min="4611" max="4611" width="22.21875" style="1717" customWidth="1"/>
    <col min="4612" max="4612" width="20.44140625" style="1717" customWidth="1"/>
    <col min="4613" max="4614" width="0" style="1717" hidden="1" customWidth="1"/>
    <col min="4615" max="4864" width="9.33203125" style="1717"/>
    <col min="4865" max="4865" width="8" style="1717" customWidth="1"/>
    <col min="4866" max="4866" width="130.44140625" style="1717" customWidth="1"/>
    <col min="4867" max="4867" width="22.21875" style="1717" customWidth="1"/>
    <col min="4868" max="4868" width="20.44140625" style="1717" customWidth="1"/>
    <col min="4869" max="4870" width="0" style="1717" hidden="1" customWidth="1"/>
    <col min="4871" max="5120" width="9.33203125" style="1717"/>
    <col min="5121" max="5121" width="8" style="1717" customWidth="1"/>
    <col min="5122" max="5122" width="130.44140625" style="1717" customWidth="1"/>
    <col min="5123" max="5123" width="22.21875" style="1717" customWidth="1"/>
    <col min="5124" max="5124" width="20.44140625" style="1717" customWidth="1"/>
    <col min="5125" max="5126" width="0" style="1717" hidden="1" customWidth="1"/>
    <col min="5127" max="5376" width="9.33203125" style="1717"/>
    <col min="5377" max="5377" width="8" style="1717" customWidth="1"/>
    <col min="5378" max="5378" width="130.44140625" style="1717" customWidth="1"/>
    <col min="5379" max="5379" width="22.21875" style="1717" customWidth="1"/>
    <col min="5380" max="5380" width="20.44140625" style="1717" customWidth="1"/>
    <col min="5381" max="5382" width="0" style="1717" hidden="1" customWidth="1"/>
    <col min="5383" max="5632" width="9.33203125" style="1717"/>
    <col min="5633" max="5633" width="8" style="1717" customWidth="1"/>
    <col min="5634" max="5634" width="130.44140625" style="1717" customWidth="1"/>
    <col min="5635" max="5635" width="22.21875" style="1717" customWidth="1"/>
    <col min="5636" max="5636" width="20.44140625" style="1717" customWidth="1"/>
    <col min="5637" max="5638" width="0" style="1717" hidden="1" customWidth="1"/>
    <col min="5639" max="5888" width="9.33203125" style="1717"/>
    <col min="5889" max="5889" width="8" style="1717" customWidth="1"/>
    <col min="5890" max="5890" width="130.44140625" style="1717" customWidth="1"/>
    <col min="5891" max="5891" width="22.21875" style="1717" customWidth="1"/>
    <col min="5892" max="5892" width="20.44140625" style="1717" customWidth="1"/>
    <col min="5893" max="5894" width="0" style="1717" hidden="1" customWidth="1"/>
    <col min="5895" max="6144" width="9.33203125" style="1717"/>
    <col min="6145" max="6145" width="8" style="1717" customWidth="1"/>
    <col min="6146" max="6146" width="130.44140625" style="1717" customWidth="1"/>
    <col min="6147" max="6147" width="22.21875" style="1717" customWidth="1"/>
    <col min="6148" max="6148" width="20.44140625" style="1717" customWidth="1"/>
    <col min="6149" max="6150" width="0" style="1717" hidden="1" customWidth="1"/>
    <col min="6151" max="6400" width="9.33203125" style="1717"/>
    <col min="6401" max="6401" width="8" style="1717" customWidth="1"/>
    <col min="6402" max="6402" width="130.44140625" style="1717" customWidth="1"/>
    <col min="6403" max="6403" width="22.21875" style="1717" customWidth="1"/>
    <col min="6404" max="6404" width="20.44140625" style="1717" customWidth="1"/>
    <col min="6405" max="6406" width="0" style="1717" hidden="1" customWidth="1"/>
    <col min="6407" max="6656" width="9.33203125" style="1717"/>
    <col min="6657" max="6657" width="8" style="1717" customWidth="1"/>
    <col min="6658" max="6658" width="130.44140625" style="1717" customWidth="1"/>
    <col min="6659" max="6659" width="22.21875" style="1717" customWidth="1"/>
    <col min="6660" max="6660" width="20.44140625" style="1717" customWidth="1"/>
    <col min="6661" max="6662" width="0" style="1717" hidden="1" customWidth="1"/>
    <col min="6663" max="6912" width="9.33203125" style="1717"/>
    <col min="6913" max="6913" width="8" style="1717" customWidth="1"/>
    <col min="6914" max="6914" width="130.44140625" style="1717" customWidth="1"/>
    <col min="6915" max="6915" width="22.21875" style="1717" customWidth="1"/>
    <col min="6916" max="6916" width="20.44140625" style="1717" customWidth="1"/>
    <col min="6917" max="6918" width="0" style="1717" hidden="1" customWidth="1"/>
    <col min="6919" max="7168" width="9.33203125" style="1717"/>
    <col min="7169" max="7169" width="8" style="1717" customWidth="1"/>
    <col min="7170" max="7170" width="130.44140625" style="1717" customWidth="1"/>
    <col min="7171" max="7171" width="22.21875" style="1717" customWidth="1"/>
    <col min="7172" max="7172" width="20.44140625" style="1717" customWidth="1"/>
    <col min="7173" max="7174" width="0" style="1717" hidden="1" customWidth="1"/>
    <col min="7175" max="7424" width="9.33203125" style="1717"/>
    <col min="7425" max="7425" width="8" style="1717" customWidth="1"/>
    <col min="7426" max="7426" width="130.44140625" style="1717" customWidth="1"/>
    <col min="7427" max="7427" width="22.21875" style="1717" customWidth="1"/>
    <col min="7428" max="7428" width="20.44140625" style="1717" customWidth="1"/>
    <col min="7429" max="7430" width="0" style="1717" hidden="1" customWidth="1"/>
    <col min="7431" max="7680" width="9.33203125" style="1717"/>
    <col min="7681" max="7681" width="8" style="1717" customWidth="1"/>
    <col min="7682" max="7682" width="130.44140625" style="1717" customWidth="1"/>
    <col min="7683" max="7683" width="22.21875" style="1717" customWidth="1"/>
    <col min="7684" max="7684" width="20.44140625" style="1717" customWidth="1"/>
    <col min="7685" max="7686" width="0" style="1717" hidden="1" customWidth="1"/>
    <col min="7687" max="7936" width="9.33203125" style="1717"/>
    <col min="7937" max="7937" width="8" style="1717" customWidth="1"/>
    <col min="7938" max="7938" width="130.44140625" style="1717" customWidth="1"/>
    <col min="7939" max="7939" width="22.21875" style="1717" customWidth="1"/>
    <col min="7940" max="7940" width="20.44140625" style="1717" customWidth="1"/>
    <col min="7941" max="7942" width="0" style="1717" hidden="1" customWidth="1"/>
    <col min="7943" max="8192" width="9.33203125" style="1717"/>
    <col min="8193" max="8193" width="8" style="1717" customWidth="1"/>
    <col min="8194" max="8194" width="130.44140625" style="1717" customWidth="1"/>
    <col min="8195" max="8195" width="22.21875" style="1717" customWidth="1"/>
    <col min="8196" max="8196" width="20.44140625" style="1717" customWidth="1"/>
    <col min="8197" max="8198" width="0" style="1717" hidden="1" customWidth="1"/>
    <col min="8199" max="8448" width="9.33203125" style="1717"/>
    <col min="8449" max="8449" width="8" style="1717" customWidth="1"/>
    <col min="8450" max="8450" width="130.44140625" style="1717" customWidth="1"/>
    <col min="8451" max="8451" width="22.21875" style="1717" customWidth="1"/>
    <col min="8452" max="8452" width="20.44140625" style="1717" customWidth="1"/>
    <col min="8453" max="8454" width="0" style="1717" hidden="1" customWidth="1"/>
    <col min="8455" max="8704" width="9.33203125" style="1717"/>
    <col min="8705" max="8705" width="8" style="1717" customWidth="1"/>
    <col min="8706" max="8706" width="130.44140625" style="1717" customWidth="1"/>
    <col min="8707" max="8707" width="22.21875" style="1717" customWidth="1"/>
    <col min="8708" max="8708" width="20.44140625" style="1717" customWidth="1"/>
    <col min="8709" max="8710" width="0" style="1717" hidden="1" customWidth="1"/>
    <col min="8711" max="8960" width="9.33203125" style="1717"/>
    <col min="8961" max="8961" width="8" style="1717" customWidth="1"/>
    <col min="8962" max="8962" width="130.44140625" style="1717" customWidth="1"/>
    <col min="8963" max="8963" width="22.21875" style="1717" customWidth="1"/>
    <col min="8964" max="8964" width="20.44140625" style="1717" customWidth="1"/>
    <col min="8965" max="8966" width="0" style="1717" hidden="1" customWidth="1"/>
    <col min="8967" max="9216" width="9.33203125" style="1717"/>
    <col min="9217" max="9217" width="8" style="1717" customWidth="1"/>
    <col min="9218" max="9218" width="130.44140625" style="1717" customWidth="1"/>
    <col min="9219" max="9219" width="22.21875" style="1717" customWidth="1"/>
    <col min="9220" max="9220" width="20.44140625" style="1717" customWidth="1"/>
    <col min="9221" max="9222" width="0" style="1717" hidden="1" customWidth="1"/>
    <col min="9223" max="9472" width="9.33203125" style="1717"/>
    <col min="9473" max="9473" width="8" style="1717" customWidth="1"/>
    <col min="9474" max="9474" width="130.44140625" style="1717" customWidth="1"/>
    <col min="9475" max="9475" width="22.21875" style="1717" customWidth="1"/>
    <col min="9476" max="9476" width="20.44140625" style="1717" customWidth="1"/>
    <col min="9477" max="9478" width="0" style="1717" hidden="1" customWidth="1"/>
    <col min="9479" max="9728" width="9.33203125" style="1717"/>
    <col min="9729" max="9729" width="8" style="1717" customWidth="1"/>
    <col min="9730" max="9730" width="130.44140625" style="1717" customWidth="1"/>
    <col min="9731" max="9731" width="22.21875" style="1717" customWidth="1"/>
    <col min="9732" max="9732" width="20.44140625" style="1717" customWidth="1"/>
    <col min="9733" max="9734" width="0" style="1717" hidden="1" customWidth="1"/>
    <col min="9735" max="9984" width="9.33203125" style="1717"/>
    <col min="9985" max="9985" width="8" style="1717" customWidth="1"/>
    <col min="9986" max="9986" width="130.44140625" style="1717" customWidth="1"/>
    <col min="9987" max="9987" width="22.21875" style="1717" customWidth="1"/>
    <col min="9988" max="9988" width="20.44140625" style="1717" customWidth="1"/>
    <col min="9989" max="9990" width="0" style="1717" hidden="1" customWidth="1"/>
    <col min="9991" max="10240" width="9.33203125" style="1717"/>
    <col min="10241" max="10241" width="8" style="1717" customWidth="1"/>
    <col min="10242" max="10242" width="130.44140625" style="1717" customWidth="1"/>
    <col min="10243" max="10243" width="22.21875" style="1717" customWidth="1"/>
    <col min="10244" max="10244" width="20.44140625" style="1717" customWidth="1"/>
    <col min="10245" max="10246" width="0" style="1717" hidden="1" customWidth="1"/>
    <col min="10247" max="10496" width="9.33203125" style="1717"/>
    <col min="10497" max="10497" width="8" style="1717" customWidth="1"/>
    <col min="10498" max="10498" width="130.44140625" style="1717" customWidth="1"/>
    <col min="10499" max="10499" width="22.21875" style="1717" customWidth="1"/>
    <col min="10500" max="10500" width="20.44140625" style="1717" customWidth="1"/>
    <col min="10501" max="10502" width="0" style="1717" hidden="1" customWidth="1"/>
    <col min="10503" max="10752" width="9.33203125" style="1717"/>
    <col min="10753" max="10753" width="8" style="1717" customWidth="1"/>
    <col min="10754" max="10754" width="130.44140625" style="1717" customWidth="1"/>
    <col min="10755" max="10755" width="22.21875" style="1717" customWidth="1"/>
    <col min="10756" max="10756" width="20.44140625" style="1717" customWidth="1"/>
    <col min="10757" max="10758" width="0" style="1717" hidden="1" customWidth="1"/>
    <col min="10759" max="11008" width="9.33203125" style="1717"/>
    <col min="11009" max="11009" width="8" style="1717" customWidth="1"/>
    <col min="11010" max="11010" width="130.44140625" style="1717" customWidth="1"/>
    <col min="11011" max="11011" width="22.21875" style="1717" customWidth="1"/>
    <col min="11012" max="11012" width="20.44140625" style="1717" customWidth="1"/>
    <col min="11013" max="11014" width="0" style="1717" hidden="1" customWidth="1"/>
    <col min="11015" max="11264" width="9.33203125" style="1717"/>
    <col min="11265" max="11265" width="8" style="1717" customWidth="1"/>
    <col min="11266" max="11266" width="130.44140625" style="1717" customWidth="1"/>
    <col min="11267" max="11267" width="22.21875" style="1717" customWidth="1"/>
    <col min="11268" max="11268" width="20.44140625" style="1717" customWidth="1"/>
    <col min="11269" max="11270" width="0" style="1717" hidden="1" customWidth="1"/>
    <col min="11271" max="11520" width="9.33203125" style="1717"/>
    <col min="11521" max="11521" width="8" style="1717" customWidth="1"/>
    <col min="11522" max="11522" width="130.44140625" style="1717" customWidth="1"/>
    <col min="11523" max="11523" width="22.21875" style="1717" customWidth="1"/>
    <col min="11524" max="11524" width="20.44140625" style="1717" customWidth="1"/>
    <col min="11525" max="11526" width="0" style="1717" hidden="1" customWidth="1"/>
    <col min="11527" max="11776" width="9.33203125" style="1717"/>
    <col min="11777" max="11777" width="8" style="1717" customWidth="1"/>
    <col min="11778" max="11778" width="130.44140625" style="1717" customWidth="1"/>
    <col min="11779" max="11779" width="22.21875" style="1717" customWidth="1"/>
    <col min="11780" max="11780" width="20.44140625" style="1717" customWidth="1"/>
    <col min="11781" max="11782" width="0" style="1717" hidden="1" customWidth="1"/>
    <col min="11783" max="12032" width="9.33203125" style="1717"/>
    <col min="12033" max="12033" width="8" style="1717" customWidth="1"/>
    <col min="12034" max="12034" width="130.44140625" style="1717" customWidth="1"/>
    <col min="12035" max="12035" width="22.21875" style="1717" customWidth="1"/>
    <col min="12036" max="12036" width="20.44140625" style="1717" customWidth="1"/>
    <col min="12037" max="12038" width="0" style="1717" hidden="1" customWidth="1"/>
    <col min="12039" max="12288" width="9.33203125" style="1717"/>
    <col min="12289" max="12289" width="8" style="1717" customWidth="1"/>
    <col min="12290" max="12290" width="130.44140625" style="1717" customWidth="1"/>
    <col min="12291" max="12291" width="22.21875" style="1717" customWidth="1"/>
    <col min="12292" max="12292" width="20.44140625" style="1717" customWidth="1"/>
    <col min="12293" max="12294" width="0" style="1717" hidden="1" customWidth="1"/>
    <col min="12295" max="12544" width="9.33203125" style="1717"/>
    <col min="12545" max="12545" width="8" style="1717" customWidth="1"/>
    <col min="12546" max="12546" width="130.44140625" style="1717" customWidth="1"/>
    <col min="12547" max="12547" width="22.21875" style="1717" customWidth="1"/>
    <col min="12548" max="12548" width="20.44140625" style="1717" customWidth="1"/>
    <col min="12549" max="12550" width="0" style="1717" hidden="1" customWidth="1"/>
    <col min="12551" max="12800" width="9.33203125" style="1717"/>
    <col min="12801" max="12801" width="8" style="1717" customWidth="1"/>
    <col min="12802" max="12802" width="130.44140625" style="1717" customWidth="1"/>
    <col min="12803" max="12803" width="22.21875" style="1717" customWidth="1"/>
    <col min="12804" max="12804" width="20.44140625" style="1717" customWidth="1"/>
    <col min="12805" max="12806" width="0" style="1717" hidden="1" customWidth="1"/>
    <col min="12807" max="13056" width="9.33203125" style="1717"/>
    <col min="13057" max="13057" width="8" style="1717" customWidth="1"/>
    <col min="13058" max="13058" width="130.44140625" style="1717" customWidth="1"/>
    <col min="13059" max="13059" width="22.21875" style="1717" customWidth="1"/>
    <col min="13060" max="13060" width="20.44140625" style="1717" customWidth="1"/>
    <col min="13061" max="13062" width="0" style="1717" hidden="1" customWidth="1"/>
    <col min="13063" max="13312" width="9.33203125" style="1717"/>
    <col min="13313" max="13313" width="8" style="1717" customWidth="1"/>
    <col min="13314" max="13314" width="130.44140625" style="1717" customWidth="1"/>
    <col min="13315" max="13315" width="22.21875" style="1717" customWidth="1"/>
    <col min="13316" max="13316" width="20.44140625" style="1717" customWidth="1"/>
    <col min="13317" max="13318" width="0" style="1717" hidden="1" customWidth="1"/>
    <col min="13319" max="13568" width="9.33203125" style="1717"/>
    <col min="13569" max="13569" width="8" style="1717" customWidth="1"/>
    <col min="13570" max="13570" width="130.44140625" style="1717" customWidth="1"/>
    <col min="13571" max="13571" width="22.21875" style="1717" customWidth="1"/>
    <col min="13572" max="13572" width="20.44140625" style="1717" customWidth="1"/>
    <col min="13573" max="13574" width="0" style="1717" hidden="1" customWidth="1"/>
    <col min="13575" max="13824" width="9.33203125" style="1717"/>
    <col min="13825" max="13825" width="8" style="1717" customWidth="1"/>
    <col min="13826" max="13826" width="130.44140625" style="1717" customWidth="1"/>
    <col min="13827" max="13827" width="22.21875" style="1717" customWidth="1"/>
    <col min="13828" max="13828" width="20.44140625" style="1717" customWidth="1"/>
    <col min="13829" max="13830" width="0" style="1717" hidden="1" customWidth="1"/>
    <col min="13831" max="14080" width="9.33203125" style="1717"/>
    <col min="14081" max="14081" width="8" style="1717" customWidth="1"/>
    <col min="14082" max="14082" width="130.44140625" style="1717" customWidth="1"/>
    <col min="14083" max="14083" width="22.21875" style="1717" customWidth="1"/>
    <col min="14084" max="14084" width="20.44140625" style="1717" customWidth="1"/>
    <col min="14085" max="14086" width="0" style="1717" hidden="1" customWidth="1"/>
    <col min="14087" max="14336" width="9.33203125" style="1717"/>
    <col min="14337" max="14337" width="8" style="1717" customWidth="1"/>
    <col min="14338" max="14338" width="130.44140625" style="1717" customWidth="1"/>
    <col min="14339" max="14339" width="22.21875" style="1717" customWidth="1"/>
    <col min="14340" max="14340" width="20.44140625" style="1717" customWidth="1"/>
    <col min="14341" max="14342" width="0" style="1717" hidden="1" customWidth="1"/>
    <col min="14343" max="14592" width="9.33203125" style="1717"/>
    <col min="14593" max="14593" width="8" style="1717" customWidth="1"/>
    <col min="14594" max="14594" width="130.44140625" style="1717" customWidth="1"/>
    <col min="14595" max="14595" width="22.21875" style="1717" customWidth="1"/>
    <col min="14596" max="14596" width="20.44140625" style="1717" customWidth="1"/>
    <col min="14597" max="14598" width="0" style="1717" hidden="1" customWidth="1"/>
    <col min="14599" max="14848" width="9.33203125" style="1717"/>
    <col min="14849" max="14849" width="8" style="1717" customWidth="1"/>
    <col min="14850" max="14850" width="130.44140625" style="1717" customWidth="1"/>
    <col min="14851" max="14851" width="22.21875" style="1717" customWidth="1"/>
    <col min="14852" max="14852" width="20.44140625" style="1717" customWidth="1"/>
    <col min="14853" max="14854" width="0" style="1717" hidden="1" customWidth="1"/>
    <col min="14855" max="15104" width="9.33203125" style="1717"/>
    <col min="15105" max="15105" width="8" style="1717" customWidth="1"/>
    <col min="15106" max="15106" width="130.44140625" style="1717" customWidth="1"/>
    <col min="15107" max="15107" width="22.21875" style="1717" customWidth="1"/>
    <col min="15108" max="15108" width="20.44140625" style="1717" customWidth="1"/>
    <col min="15109" max="15110" width="0" style="1717" hidden="1" customWidth="1"/>
    <col min="15111" max="15360" width="9.33203125" style="1717"/>
    <col min="15361" max="15361" width="8" style="1717" customWidth="1"/>
    <col min="15362" max="15362" width="130.44140625" style="1717" customWidth="1"/>
    <col min="15363" max="15363" width="22.21875" style="1717" customWidth="1"/>
    <col min="15364" max="15364" width="20.44140625" style="1717" customWidth="1"/>
    <col min="15365" max="15366" width="0" style="1717" hidden="1" customWidth="1"/>
    <col min="15367" max="15616" width="9.33203125" style="1717"/>
    <col min="15617" max="15617" width="8" style="1717" customWidth="1"/>
    <col min="15618" max="15618" width="130.44140625" style="1717" customWidth="1"/>
    <col min="15619" max="15619" width="22.21875" style="1717" customWidth="1"/>
    <col min="15620" max="15620" width="20.44140625" style="1717" customWidth="1"/>
    <col min="15621" max="15622" width="0" style="1717" hidden="1" customWidth="1"/>
    <col min="15623" max="15872" width="9.33203125" style="1717"/>
    <col min="15873" max="15873" width="8" style="1717" customWidth="1"/>
    <col min="15874" max="15874" width="130.44140625" style="1717" customWidth="1"/>
    <col min="15875" max="15875" width="22.21875" style="1717" customWidth="1"/>
    <col min="15876" max="15876" width="20.44140625" style="1717" customWidth="1"/>
    <col min="15877" max="15878" width="0" style="1717" hidden="1" customWidth="1"/>
    <col min="15879" max="16128" width="9.33203125" style="1717"/>
    <col min="16129" max="16129" width="8" style="1717" customWidth="1"/>
    <col min="16130" max="16130" width="130.44140625" style="1717" customWidth="1"/>
    <col min="16131" max="16131" width="22.21875" style="1717" customWidth="1"/>
    <col min="16132" max="16132" width="20.44140625" style="1717" customWidth="1"/>
    <col min="16133" max="16134" width="0" style="1717" hidden="1" customWidth="1"/>
    <col min="16135" max="16384" width="9.33203125" style="1717"/>
  </cols>
  <sheetData>
    <row r="2" spans="1:6" ht="97.8" customHeight="1" x14ac:dyDescent="0.25">
      <c r="C2" s="2039" t="s">
        <v>2038</v>
      </c>
      <c r="D2" s="2039"/>
    </row>
    <row r="3" spans="1:6" ht="21" customHeight="1" x14ac:dyDescent="0.35">
      <c r="A3" s="2038" t="s">
        <v>2039</v>
      </c>
      <c r="B3" s="2038"/>
      <c r="C3" s="2038"/>
      <c r="D3" s="2038"/>
      <c r="E3" s="1718"/>
      <c r="F3" s="1718"/>
    </row>
    <row r="4" spans="1:6" ht="40.200000000000003" customHeight="1" x14ac:dyDescent="0.35">
      <c r="A4" s="2040" t="s">
        <v>2040</v>
      </c>
      <c r="B4" s="2040"/>
      <c r="C4" s="2040"/>
      <c r="D4" s="2040"/>
      <c r="E4" s="1719"/>
      <c r="F4" s="1719"/>
    </row>
    <row r="5" spans="1:6" ht="16.2" customHeight="1" x14ac:dyDescent="0.35">
      <c r="A5" s="1720"/>
      <c r="B5" s="1720"/>
      <c r="C5" s="1720"/>
      <c r="D5" s="1720"/>
      <c r="E5" s="1720"/>
      <c r="F5" s="1720"/>
    </row>
    <row r="6" spans="1:6" ht="24" customHeight="1" x14ac:dyDescent="0.35">
      <c r="A6" s="2041">
        <v>2357600000</v>
      </c>
      <c r="B6" s="2041"/>
      <c r="C6" s="1720"/>
      <c r="D6" s="1720"/>
      <c r="E6" s="1720"/>
      <c r="F6" s="1720"/>
    </row>
    <row r="7" spans="1:6" ht="19.2" customHeight="1" x14ac:dyDescent="0.3">
      <c r="A7" s="2042" t="s">
        <v>691</v>
      </c>
      <c r="B7" s="2042"/>
      <c r="C7" s="1721"/>
      <c r="D7" s="1721" t="s">
        <v>692</v>
      </c>
      <c r="E7" s="1721"/>
    </row>
    <row r="8" spans="1:6" ht="13.65" customHeight="1" x14ac:dyDescent="0.3">
      <c r="A8" s="1398"/>
      <c r="B8" s="1398"/>
      <c r="C8" s="1721"/>
      <c r="D8" s="1721"/>
      <c r="E8" s="1721"/>
      <c r="F8" s="1721"/>
    </row>
    <row r="9" spans="1:6" ht="25.8" customHeight="1" x14ac:dyDescent="0.3">
      <c r="A9" s="2043" t="s">
        <v>1918</v>
      </c>
      <c r="B9" s="2043" t="s">
        <v>2041</v>
      </c>
      <c r="C9" s="2032" t="s">
        <v>2042</v>
      </c>
      <c r="D9" s="2032" t="s">
        <v>2</v>
      </c>
      <c r="E9" s="2032" t="s">
        <v>3</v>
      </c>
      <c r="F9" s="1722" t="s">
        <v>872</v>
      </c>
    </row>
    <row r="10" spans="1:6" ht="15.6" x14ac:dyDescent="0.25">
      <c r="A10" s="2043"/>
      <c r="B10" s="2043"/>
      <c r="C10" s="2032"/>
      <c r="D10" s="2032"/>
      <c r="E10" s="2032"/>
      <c r="F10" s="1723" t="s">
        <v>1956</v>
      </c>
    </row>
    <row r="11" spans="1:6" s="1725" customFormat="1" ht="17.399999999999999" x14ac:dyDescent="0.3">
      <c r="A11" s="2033" t="s">
        <v>2043</v>
      </c>
      <c r="B11" s="2034"/>
      <c r="C11" s="2034"/>
      <c r="D11" s="2035"/>
      <c r="E11" s="1724"/>
      <c r="F11" s="1724"/>
    </row>
    <row r="12" spans="1:6" ht="34.799999999999997" x14ac:dyDescent="0.3">
      <c r="A12" s="1726">
        <v>1</v>
      </c>
      <c r="B12" s="1727" t="s">
        <v>441</v>
      </c>
      <c r="C12" s="1728">
        <f>D12+E12+F12</f>
        <v>207800000</v>
      </c>
      <c r="D12" s="1728">
        <f>D13</f>
        <v>207800000</v>
      </c>
      <c r="E12" s="1728">
        <f>E13+E26</f>
        <v>0</v>
      </c>
      <c r="F12" s="1728">
        <f>F26</f>
        <v>0</v>
      </c>
    </row>
    <row r="13" spans="1:6" ht="18" x14ac:dyDescent="0.3">
      <c r="A13" s="1729"/>
      <c r="B13" s="1730" t="s">
        <v>2044</v>
      </c>
      <c r="C13" s="1731">
        <f>D13</f>
        <v>207800000</v>
      </c>
      <c r="D13" s="1731">
        <f>D14+D15+D16+D18</f>
        <v>207800000</v>
      </c>
      <c r="E13" s="1732"/>
      <c r="F13" s="1732"/>
    </row>
    <row r="14" spans="1:6" ht="18" x14ac:dyDescent="0.35">
      <c r="A14" s="1729"/>
      <c r="B14" s="1733" t="s">
        <v>2045</v>
      </c>
      <c r="C14" s="1734">
        <f>D14</f>
        <v>53722303</v>
      </c>
      <c r="D14" s="1734">
        <v>53722303</v>
      </c>
      <c r="E14" s="1735"/>
      <c r="F14" s="1735"/>
    </row>
    <row r="15" spans="1:6" s="1736" customFormat="1" ht="18" x14ac:dyDescent="0.35">
      <c r="A15" s="1729"/>
      <c r="B15" s="1733" t="s">
        <v>2046</v>
      </c>
      <c r="C15" s="1734">
        <f>D15</f>
        <v>6700000</v>
      </c>
      <c r="D15" s="1734">
        <v>6700000</v>
      </c>
      <c r="E15" s="1735"/>
      <c r="F15" s="1735"/>
    </row>
    <row r="16" spans="1:6" ht="18" x14ac:dyDescent="0.35">
      <c r="A16" s="1729"/>
      <c r="B16" s="1733" t="s">
        <v>2047</v>
      </c>
      <c r="C16" s="1734">
        <f>D16</f>
        <v>9120000</v>
      </c>
      <c r="D16" s="1734">
        <v>9120000</v>
      </c>
      <c r="E16" s="1735"/>
      <c r="F16" s="1735"/>
    </row>
    <row r="17" spans="1:6" ht="24.6" hidden="1" customHeight="1" x14ac:dyDescent="0.35">
      <c r="A17" s="1729"/>
      <c r="B17" s="1733" t="s">
        <v>2048</v>
      </c>
      <c r="C17" s="1734">
        <f>500000-500000</f>
        <v>0</v>
      </c>
      <c r="D17" s="1734"/>
      <c r="E17" s="1735"/>
      <c r="F17" s="1735"/>
    </row>
    <row r="18" spans="1:6" s="1741" customFormat="1" ht="36" x14ac:dyDescent="0.35">
      <c r="A18" s="1737"/>
      <c r="B18" s="1738" t="s">
        <v>2049</v>
      </c>
      <c r="C18" s="1739">
        <f>SUM(C19:C25)</f>
        <v>138257697</v>
      </c>
      <c r="D18" s="1739">
        <f>SUM(D19:D25)</f>
        <v>138257697</v>
      </c>
      <c r="E18" s="1740"/>
      <c r="F18" s="1740"/>
    </row>
    <row r="19" spans="1:6" s="1746" customFormat="1" ht="18" x14ac:dyDescent="0.35">
      <c r="A19" s="1742"/>
      <c r="B19" s="1743" t="s">
        <v>2045</v>
      </c>
      <c r="C19" s="1744">
        <f>F19+E19+D19</f>
        <v>49561681</v>
      </c>
      <c r="D19" s="1744">
        <v>49561681</v>
      </c>
      <c r="E19" s="1745"/>
      <c r="F19" s="1745"/>
    </row>
    <row r="20" spans="1:6" s="1746" customFormat="1" ht="18" x14ac:dyDescent="0.35">
      <c r="A20" s="1742"/>
      <c r="B20" s="1743" t="s">
        <v>2050</v>
      </c>
      <c r="C20" s="1744">
        <f t="shared" ref="C20:C25" si="0">F20+E20+D20</f>
        <v>9870670</v>
      </c>
      <c r="D20" s="1744">
        <v>9870670</v>
      </c>
      <c r="E20" s="1745"/>
      <c r="F20" s="1745"/>
    </row>
    <row r="21" spans="1:6" s="1746" customFormat="1" ht="18" x14ac:dyDescent="0.35">
      <c r="A21" s="1742"/>
      <c r="B21" s="1743" t="s">
        <v>2051</v>
      </c>
      <c r="C21" s="1744">
        <f t="shared" si="0"/>
        <v>5597227</v>
      </c>
      <c r="D21" s="1744">
        <v>5597227</v>
      </c>
      <c r="E21" s="1745"/>
      <c r="F21" s="1745"/>
    </row>
    <row r="22" spans="1:6" s="1746" customFormat="1" ht="18" x14ac:dyDescent="0.35">
      <c r="A22" s="1742"/>
      <c r="B22" s="1743" t="s">
        <v>2052</v>
      </c>
      <c r="C22" s="1744">
        <f t="shared" si="0"/>
        <v>4296463</v>
      </c>
      <c r="D22" s="1744">
        <v>4296463</v>
      </c>
      <c r="E22" s="1745"/>
      <c r="F22" s="1745"/>
    </row>
    <row r="23" spans="1:6" s="1746" customFormat="1" ht="18" x14ac:dyDescent="0.35">
      <c r="A23" s="1742"/>
      <c r="B23" s="1747" t="s">
        <v>2053</v>
      </c>
      <c r="C23" s="1744">
        <f t="shared" si="0"/>
        <v>7281464</v>
      </c>
      <c r="D23" s="1744">
        <v>7281464</v>
      </c>
      <c r="E23" s="1745"/>
      <c r="F23" s="1745"/>
    </row>
    <row r="24" spans="1:6" s="1746" customFormat="1" ht="18" x14ac:dyDescent="0.35">
      <c r="A24" s="1742"/>
      <c r="B24" s="1743" t="s">
        <v>2047</v>
      </c>
      <c r="C24" s="1744">
        <f t="shared" si="0"/>
        <v>2150941</v>
      </c>
      <c r="D24" s="1744">
        <v>2150941</v>
      </c>
      <c r="E24" s="1745"/>
      <c r="F24" s="1745"/>
    </row>
    <row r="25" spans="1:6" s="1746" customFormat="1" ht="55.2" customHeight="1" x14ac:dyDescent="0.35">
      <c r="A25" s="1742"/>
      <c r="B25" s="1743" t="s">
        <v>2054</v>
      </c>
      <c r="C25" s="1744">
        <f t="shared" si="0"/>
        <v>59499251</v>
      </c>
      <c r="D25" s="1744">
        <v>59499251</v>
      </c>
      <c r="E25" s="1745"/>
      <c r="F25" s="1745"/>
    </row>
    <row r="26" spans="1:6" ht="17.399999999999999" hidden="1" x14ac:dyDescent="0.3">
      <c r="A26" s="1748"/>
      <c r="B26" s="1749" t="s">
        <v>2055</v>
      </c>
      <c r="C26" s="1750">
        <f>E26</f>
        <v>0</v>
      </c>
      <c r="D26" s="1750"/>
      <c r="E26" s="1750">
        <f>F26</f>
        <v>0</v>
      </c>
      <c r="F26" s="1750">
        <f>SUM(F27:F35)</f>
        <v>0</v>
      </c>
    </row>
    <row r="27" spans="1:6" ht="33.6" hidden="1" customHeight="1" x14ac:dyDescent="0.25">
      <c r="A27" s="1751"/>
      <c r="B27" s="1752" t="s">
        <v>2056</v>
      </c>
      <c r="C27" s="1753">
        <f t="shared" ref="C27:C34" si="1">E27</f>
        <v>0</v>
      </c>
      <c r="D27" s="1751"/>
      <c r="E27" s="1753">
        <f t="shared" ref="E27:E34" si="2">F27</f>
        <v>0</v>
      </c>
      <c r="F27" s="1753"/>
    </row>
    <row r="28" spans="1:6" ht="49.8" hidden="1" customHeight="1" x14ac:dyDescent="0.25">
      <c r="A28" s="1751"/>
      <c r="B28" s="1754" t="s">
        <v>2057</v>
      </c>
      <c r="C28" s="1753">
        <f t="shared" si="1"/>
        <v>0</v>
      </c>
      <c r="D28" s="1751"/>
      <c r="E28" s="1753">
        <f t="shared" si="2"/>
        <v>0</v>
      </c>
      <c r="F28" s="1753"/>
    </row>
    <row r="29" spans="1:6" ht="34.200000000000003" hidden="1" customHeight="1" x14ac:dyDescent="0.25">
      <c r="A29" s="1751"/>
      <c r="B29" s="1755" t="s">
        <v>2058</v>
      </c>
      <c r="C29" s="1753">
        <f>E29</f>
        <v>0</v>
      </c>
      <c r="D29" s="1751"/>
      <c r="E29" s="1753">
        <f>F29</f>
        <v>0</v>
      </c>
      <c r="F29" s="1753"/>
    </row>
    <row r="30" spans="1:6" ht="22.8" hidden="1" customHeight="1" x14ac:dyDescent="0.25">
      <c r="A30" s="1751"/>
      <c r="B30" s="1752" t="s">
        <v>2059</v>
      </c>
      <c r="C30" s="1753">
        <f>E30</f>
        <v>0</v>
      </c>
      <c r="D30" s="1751"/>
      <c r="E30" s="1753">
        <f>F30</f>
        <v>0</v>
      </c>
      <c r="F30" s="1753"/>
    </row>
    <row r="31" spans="1:6" ht="24" hidden="1" customHeight="1" x14ac:dyDescent="0.25">
      <c r="A31" s="1751"/>
      <c r="B31" s="1752" t="s">
        <v>2060</v>
      </c>
      <c r="C31" s="1753">
        <f t="shared" si="1"/>
        <v>0</v>
      </c>
      <c r="D31" s="1751"/>
      <c r="E31" s="1753">
        <f t="shared" si="2"/>
        <v>0</v>
      </c>
      <c r="F31" s="1753"/>
    </row>
    <row r="32" spans="1:6" ht="27" hidden="1" customHeight="1" x14ac:dyDescent="0.25">
      <c r="A32" s="1751"/>
      <c r="B32" s="1752" t="s">
        <v>2061</v>
      </c>
      <c r="C32" s="1753">
        <f>E32</f>
        <v>0</v>
      </c>
      <c r="D32" s="1751"/>
      <c r="E32" s="1753">
        <f>F32</f>
        <v>0</v>
      </c>
      <c r="F32" s="1753"/>
    </row>
    <row r="33" spans="1:6" ht="22.8" hidden="1" customHeight="1" x14ac:dyDescent="0.25">
      <c r="A33" s="1751"/>
      <c r="B33" s="1752" t="s">
        <v>2062</v>
      </c>
      <c r="C33" s="1753">
        <f>E33</f>
        <v>0</v>
      </c>
      <c r="D33" s="1751"/>
      <c r="E33" s="1753">
        <f>F33</f>
        <v>0</v>
      </c>
      <c r="F33" s="1753"/>
    </row>
    <row r="34" spans="1:6" ht="25.2" hidden="1" customHeight="1" x14ac:dyDescent="0.25">
      <c r="A34" s="1751"/>
      <c r="B34" s="1752" t="s">
        <v>2063</v>
      </c>
      <c r="C34" s="1753">
        <f t="shared" si="1"/>
        <v>0</v>
      </c>
      <c r="D34" s="1751"/>
      <c r="E34" s="1753">
        <f t="shared" si="2"/>
        <v>0</v>
      </c>
      <c r="F34" s="1753"/>
    </row>
    <row r="35" spans="1:6" ht="38.4" hidden="1" customHeight="1" x14ac:dyDescent="0.25">
      <c r="A35" s="1751"/>
      <c r="B35" s="1752" t="s">
        <v>2064</v>
      </c>
      <c r="C35" s="1753">
        <f>E35</f>
        <v>0</v>
      </c>
      <c r="D35" s="1751"/>
      <c r="E35" s="1753">
        <f>F35</f>
        <v>0</v>
      </c>
      <c r="F35" s="1753"/>
    </row>
    <row r="36" spans="1:6" hidden="1" x14ac:dyDescent="0.25">
      <c r="A36" s="1751"/>
      <c r="B36" s="1751"/>
      <c r="C36" s="1751"/>
      <c r="D36" s="1751"/>
      <c r="E36" s="1751"/>
      <c r="F36" s="1751"/>
    </row>
    <row r="37" spans="1:6" ht="17.399999999999999" hidden="1" x14ac:dyDescent="0.3">
      <c r="A37" s="1751"/>
      <c r="B37" s="1730" t="s">
        <v>2065</v>
      </c>
      <c r="C37" s="1751"/>
      <c r="D37" s="1751"/>
      <c r="E37" s="1751"/>
      <c r="F37" s="1751"/>
    </row>
    <row r="38" spans="1:6" ht="22.8" hidden="1" customHeight="1" x14ac:dyDescent="0.3">
      <c r="A38" s="1726">
        <v>2</v>
      </c>
      <c r="B38" s="1727" t="s">
        <v>441</v>
      </c>
      <c r="C38" s="1756">
        <f>E38</f>
        <v>0</v>
      </c>
      <c r="D38" s="1757"/>
      <c r="E38" s="1756">
        <f>F38</f>
        <v>0</v>
      </c>
      <c r="F38" s="1756">
        <f>F39</f>
        <v>0</v>
      </c>
    </row>
    <row r="39" spans="1:6" ht="22.2" hidden="1" customHeight="1" x14ac:dyDescent="0.3">
      <c r="A39" s="1751"/>
      <c r="B39" s="1730" t="s">
        <v>2055</v>
      </c>
      <c r="C39" s="1750">
        <f>E39</f>
        <v>0</v>
      </c>
      <c r="D39" s="1751"/>
      <c r="E39" s="1750">
        <f>F39</f>
        <v>0</v>
      </c>
      <c r="F39" s="1750">
        <f>SUM(F40:F67)</f>
        <v>0</v>
      </c>
    </row>
    <row r="40" spans="1:6" ht="22.8" hidden="1" customHeight="1" x14ac:dyDescent="0.25">
      <c r="A40" s="1751"/>
      <c r="B40" s="1758" t="s">
        <v>2066</v>
      </c>
      <c r="C40" s="1753">
        <f>E40</f>
        <v>0</v>
      </c>
      <c r="D40" s="1753"/>
      <c r="E40" s="1753">
        <f>F40</f>
        <v>0</v>
      </c>
      <c r="F40" s="1753"/>
    </row>
    <row r="41" spans="1:6" ht="37.200000000000003" hidden="1" customHeight="1" x14ac:dyDescent="0.25">
      <c r="A41" s="1751"/>
      <c r="B41" s="1759" t="s">
        <v>2067</v>
      </c>
      <c r="C41" s="1753">
        <f t="shared" ref="C41:C67" si="3">E41</f>
        <v>0</v>
      </c>
      <c r="D41" s="1753"/>
      <c r="E41" s="1753">
        <f t="shared" ref="E41:E67" si="4">F41</f>
        <v>0</v>
      </c>
      <c r="F41" s="1753"/>
    </row>
    <row r="42" spans="1:6" ht="18" hidden="1" x14ac:dyDescent="0.25">
      <c r="A42" s="1751"/>
      <c r="B42" s="1759" t="s">
        <v>2068</v>
      </c>
      <c r="C42" s="1753">
        <f t="shared" si="3"/>
        <v>0</v>
      </c>
      <c r="D42" s="1753"/>
      <c r="E42" s="1753">
        <f t="shared" si="4"/>
        <v>0</v>
      </c>
      <c r="F42" s="1753"/>
    </row>
    <row r="43" spans="1:6" ht="18" hidden="1" x14ac:dyDescent="0.25">
      <c r="A43" s="1751"/>
      <c r="B43" s="1759" t="s">
        <v>2069</v>
      </c>
      <c r="C43" s="1753">
        <f t="shared" si="3"/>
        <v>0</v>
      </c>
      <c r="D43" s="1753"/>
      <c r="E43" s="1753">
        <f t="shared" si="4"/>
        <v>0</v>
      </c>
      <c r="F43" s="1753"/>
    </row>
    <row r="44" spans="1:6" ht="18" hidden="1" x14ac:dyDescent="0.25">
      <c r="A44" s="1751"/>
      <c r="B44" s="1759" t="s">
        <v>2070</v>
      </c>
      <c r="C44" s="1753">
        <f t="shared" si="3"/>
        <v>0</v>
      </c>
      <c r="D44" s="1753"/>
      <c r="E44" s="1753">
        <f t="shared" si="4"/>
        <v>0</v>
      </c>
      <c r="F44" s="1753"/>
    </row>
    <row r="45" spans="1:6" ht="18" hidden="1" x14ac:dyDescent="0.25">
      <c r="A45" s="1751"/>
      <c r="B45" s="1759" t="s">
        <v>2071</v>
      </c>
      <c r="C45" s="1753">
        <f t="shared" si="3"/>
        <v>0</v>
      </c>
      <c r="D45" s="1753"/>
      <c r="E45" s="1753">
        <f t="shared" si="4"/>
        <v>0</v>
      </c>
      <c r="F45" s="1753"/>
    </row>
    <row r="46" spans="1:6" ht="18" hidden="1" x14ac:dyDescent="0.25">
      <c r="A46" s="1751"/>
      <c r="B46" s="1759" t="s">
        <v>2072</v>
      </c>
      <c r="C46" s="1753">
        <f t="shared" si="3"/>
        <v>0</v>
      </c>
      <c r="D46" s="1753"/>
      <c r="E46" s="1753">
        <f t="shared" si="4"/>
        <v>0</v>
      </c>
      <c r="F46" s="1753"/>
    </row>
    <row r="47" spans="1:6" ht="36" hidden="1" x14ac:dyDescent="0.25">
      <c r="A47" s="1751"/>
      <c r="B47" s="1759" t="s">
        <v>2073</v>
      </c>
      <c r="C47" s="1753">
        <f t="shared" si="3"/>
        <v>0</v>
      </c>
      <c r="D47" s="1753"/>
      <c r="E47" s="1753">
        <f t="shared" si="4"/>
        <v>0</v>
      </c>
      <c r="F47" s="1753"/>
    </row>
    <row r="48" spans="1:6" ht="19.8" hidden="1" customHeight="1" x14ac:dyDescent="0.25">
      <c r="A48" s="1751"/>
      <c r="B48" s="1759" t="s">
        <v>2074</v>
      </c>
      <c r="C48" s="1753">
        <f t="shared" si="3"/>
        <v>0</v>
      </c>
      <c r="D48" s="1753"/>
      <c r="E48" s="1753">
        <f t="shared" si="4"/>
        <v>0</v>
      </c>
      <c r="F48" s="1753"/>
    </row>
    <row r="49" spans="1:6" ht="18" hidden="1" x14ac:dyDescent="0.25">
      <c r="A49" s="1751"/>
      <c r="B49" s="1759" t="s">
        <v>2075</v>
      </c>
      <c r="C49" s="1753">
        <f t="shared" si="3"/>
        <v>0</v>
      </c>
      <c r="D49" s="1753"/>
      <c r="E49" s="1753">
        <f t="shared" si="4"/>
        <v>0</v>
      </c>
      <c r="F49" s="1753"/>
    </row>
    <row r="50" spans="1:6" ht="18" hidden="1" x14ac:dyDescent="0.25">
      <c r="A50" s="1751"/>
      <c r="B50" s="1758" t="s">
        <v>2076</v>
      </c>
      <c r="C50" s="1753">
        <f t="shared" si="3"/>
        <v>0</v>
      </c>
      <c r="D50" s="1753"/>
      <c r="E50" s="1753">
        <f t="shared" si="4"/>
        <v>0</v>
      </c>
      <c r="F50" s="1753"/>
    </row>
    <row r="51" spans="1:6" ht="18" hidden="1" x14ac:dyDescent="0.25">
      <c r="A51" s="1751"/>
      <c r="B51" s="1758" t="s">
        <v>2077</v>
      </c>
      <c r="C51" s="1753">
        <f t="shared" si="3"/>
        <v>0</v>
      </c>
      <c r="D51" s="1753"/>
      <c r="E51" s="1753">
        <f t="shared" si="4"/>
        <v>0</v>
      </c>
      <c r="F51" s="1753"/>
    </row>
    <row r="52" spans="1:6" ht="18" hidden="1" x14ac:dyDescent="0.25">
      <c r="A52" s="1751"/>
      <c r="B52" s="1758" t="s">
        <v>2078</v>
      </c>
      <c r="C52" s="1753">
        <f>E52</f>
        <v>0</v>
      </c>
      <c r="D52" s="1753"/>
      <c r="E52" s="1753">
        <f>F52</f>
        <v>0</v>
      </c>
      <c r="F52" s="1753"/>
    </row>
    <row r="53" spans="1:6" ht="18" hidden="1" x14ac:dyDescent="0.25">
      <c r="A53" s="1751"/>
      <c r="B53" s="1758" t="s">
        <v>2079</v>
      </c>
      <c r="C53" s="1753">
        <f t="shared" si="3"/>
        <v>0</v>
      </c>
      <c r="D53" s="1753"/>
      <c r="E53" s="1753">
        <f t="shared" si="4"/>
        <v>0</v>
      </c>
      <c r="F53" s="1753"/>
    </row>
    <row r="54" spans="1:6" ht="18" hidden="1" x14ac:dyDescent="0.25">
      <c r="A54" s="1751"/>
      <c r="B54" s="1758" t="s">
        <v>2080</v>
      </c>
      <c r="C54" s="1753">
        <f t="shared" si="3"/>
        <v>0</v>
      </c>
      <c r="D54" s="1753"/>
      <c r="E54" s="1753">
        <f t="shared" si="4"/>
        <v>0</v>
      </c>
      <c r="F54" s="1753"/>
    </row>
    <row r="55" spans="1:6" ht="18" hidden="1" x14ac:dyDescent="0.25">
      <c r="A55" s="1751"/>
      <c r="B55" s="1758" t="s">
        <v>2081</v>
      </c>
      <c r="C55" s="1753">
        <f t="shared" si="3"/>
        <v>0</v>
      </c>
      <c r="D55" s="1753"/>
      <c r="E55" s="1753">
        <f t="shared" si="4"/>
        <v>0</v>
      </c>
      <c r="F55" s="1753"/>
    </row>
    <row r="56" spans="1:6" ht="18" hidden="1" x14ac:dyDescent="0.25">
      <c r="A56" s="1751"/>
      <c r="B56" s="1758" t="s">
        <v>2082</v>
      </c>
      <c r="C56" s="1753">
        <f t="shared" si="3"/>
        <v>0</v>
      </c>
      <c r="D56" s="1753"/>
      <c r="E56" s="1753">
        <f t="shared" si="4"/>
        <v>0</v>
      </c>
      <c r="F56" s="1753"/>
    </row>
    <row r="57" spans="1:6" ht="18" hidden="1" x14ac:dyDescent="0.25">
      <c r="A57" s="1751"/>
      <c r="B57" s="1758" t="s">
        <v>2083</v>
      </c>
      <c r="C57" s="1753">
        <f>E57</f>
        <v>0</v>
      </c>
      <c r="D57" s="1753"/>
      <c r="E57" s="1753">
        <f>F57</f>
        <v>0</v>
      </c>
      <c r="F57" s="1753"/>
    </row>
    <row r="58" spans="1:6" ht="18" hidden="1" x14ac:dyDescent="0.25">
      <c r="A58" s="1751"/>
      <c r="B58" s="1758" t="s">
        <v>2084</v>
      </c>
      <c r="C58" s="1753">
        <f t="shared" si="3"/>
        <v>0</v>
      </c>
      <c r="D58" s="1753"/>
      <c r="E58" s="1753">
        <f t="shared" si="4"/>
        <v>0</v>
      </c>
      <c r="F58" s="1753"/>
    </row>
    <row r="59" spans="1:6" ht="18" hidden="1" x14ac:dyDescent="0.25">
      <c r="A59" s="1751"/>
      <c r="B59" s="1758" t="s">
        <v>2085</v>
      </c>
      <c r="C59" s="1753">
        <f t="shared" si="3"/>
        <v>0</v>
      </c>
      <c r="D59" s="1753"/>
      <c r="E59" s="1753">
        <f t="shared" si="4"/>
        <v>0</v>
      </c>
      <c r="F59" s="1753"/>
    </row>
    <row r="60" spans="1:6" ht="18" hidden="1" x14ac:dyDescent="0.25">
      <c r="A60" s="1751"/>
      <c r="B60" s="1758" t="s">
        <v>2086</v>
      </c>
      <c r="C60" s="1753">
        <f t="shared" si="3"/>
        <v>0</v>
      </c>
      <c r="D60" s="1753"/>
      <c r="E60" s="1753">
        <f t="shared" si="4"/>
        <v>0</v>
      </c>
      <c r="F60" s="1753"/>
    </row>
    <row r="61" spans="1:6" ht="18" hidden="1" x14ac:dyDescent="0.35">
      <c r="A61" s="1760"/>
      <c r="B61" s="1758" t="s">
        <v>2087</v>
      </c>
      <c r="C61" s="1753">
        <f t="shared" si="3"/>
        <v>0</v>
      </c>
      <c r="D61" s="1753"/>
      <c r="E61" s="1753">
        <f t="shared" si="4"/>
        <v>0</v>
      </c>
      <c r="F61" s="1753"/>
    </row>
    <row r="62" spans="1:6" ht="18" hidden="1" x14ac:dyDescent="0.35">
      <c r="A62" s="1760"/>
      <c r="B62" s="1758" t="s">
        <v>2088</v>
      </c>
      <c r="C62" s="1753">
        <f t="shared" si="3"/>
        <v>0</v>
      </c>
      <c r="D62" s="1753"/>
      <c r="E62" s="1753">
        <f t="shared" si="4"/>
        <v>0</v>
      </c>
      <c r="F62" s="1753"/>
    </row>
    <row r="63" spans="1:6" ht="40.200000000000003" hidden="1" customHeight="1" x14ac:dyDescent="0.35">
      <c r="A63" s="1760"/>
      <c r="B63" s="1759" t="s">
        <v>2089</v>
      </c>
      <c r="C63" s="1753">
        <f t="shared" si="3"/>
        <v>0</v>
      </c>
      <c r="D63" s="1753"/>
      <c r="E63" s="1753">
        <f t="shared" si="4"/>
        <v>0</v>
      </c>
      <c r="F63" s="1753"/>
    </row>
    <row r="64" spans="1:6" ht="40.799999999999997" hidden="1" customHeight="1" x14ac:dyDescent="0.35">
      <c r="A64" s="1760"/>
      <c r="B64" s="1759" t="s">
        <v>2090</v>
      </c>
      <c r="C64" s="1753">
        <f t="shared" si="3"/>
        <v>0</v>
      </c>
      <c r="D64" s="1753"/>
      <c r="E64" s="1753">
        <f t="shared" si="4"/>
        <v>0</v>
      </c>
      <c r="F64" s="1753"/>
    </row>
    <row r="65" spans="1:6" ht="43.2" hidden="1" customHeight="1" x14ac:dyDescent="0.35">
      <c r="A65" s="1760"/>
      <c r="B65" s="1759" t="s">
        <v>2091</v>
      </c>
      <c r="C65" s="1753">
        <f t="shared" si="3"/>
        <v>0</v>
      </c>
      <c r="D65" s="1753"/>
      <c r="E65" s="1753">
        <f t="shared" si="4"/>
        <v>0</v>
      </c>
      <c r="F65" s="1753"/>
    </row>
    <row r="66" spans="1:6" ht="18" hidden="1" x14ac:dyDescent="0.35">
      <c r="A66" s="1760"/>
      <c r="B66" s="1758" t="s">
        <v>2092</v>
      </c>
      <c r="C66" s="1753">
        <f t="shared" si="3"/>
        <v>0</v>
      </c>
      <c r="D66" s="1753"/>
      <c r="E66" s="1753">
        <f t="shared" si="4"/>
        <v>0</v>
      </c>
      <c r="F66" s="1753"/>
    </row>
    <row r="67" spans="1:6" ht="18" hidden="1" x14ac:dyDescent="0.35">
      <c r="A67" s="1760"/>
      <c r="B67" s="1758" t="s">
        <v>2093</v>
      </c>
      <c r="C67" s="1753">
        <f t="shared" si="3"/>
        <v>0</v>
      </c>
      <c r="D67" s="1753"/>
      <c r="E67" s="1753">
        <f t="shared" si="4"/>
        <v>0</v>
      </c>
      <c r="F67" s="1753"/>
    </row>
    <row r="68" spans="1:6" ht="17.399999999999999" x14ac:dyDescent="0.3">
      <c r="A68" s="1761"/>
      <c r="B68" s="1762" t="s">
        <v>1942</v>
      </c>
      <c r="C68" s="1728">
        <f>C12+C38</f>
        <v>207800000</v>
      </c>
      <c r="D68" s="1728">
        <f>D12</f>
        <v>207800000</v>
      </c>
      <c r="E68" s="1728">
        <f>E12+E38</f>
        <v>0</v>
      </c>
      <c r="F68" s="1728">
        <f>F38+F26</f>
        <v>0</v>
      </c>
    </row>
    <row r="69" spans="1:6" ht="17.399999999999999" x14ac:dyDescent="0.3">
      <c r="A69" s="1763"/>
      <c r="B69" s="1764"/>
      <c r="C69" s="1765"/>
      <c r="D69" s="1765"/>
    </row>
    <row r="70" spans="1:6" ht="18" x14ac:dyDescent="0.35">
      <c r="A70" s="1766"/>
      <c r="B70" s="1767"/>
      <c r="C70" s="1768"/>
      <c r="D70" s="1769"/>
    </row>
    <row r="71" spans="1:6" s="1770" customFormat="1" ht="21" x14ac:dyDescent="0.4">
      <c r="A71" s="2036" t="s">
        <v>681</v>
      </c>
      <c r="B71" s="2037"/>
      <c r="C71" s="2038" t="s">
        <v>682</v>
      </c>
      <c r="D71" s="2038"/>
    </row>
  </sheetData>
  <mergeCells count="13">
    <mergeCell ref="E9:E10"/>
    <mergeCell ref="A11:D11"/>
    <mergeCell ref="A71:B71"/>
    <mergeCell ref="C71:D71"/>
    <mergeCell ref="C2:D2"/>
    <mergeCell ref="A3:D3"/>
    <mergeCell ref="A4:D4"/>
    <mergeCell ref="A6:B6"/>
    <mergeCell ref="A7:B7"/>
    <mergeCell ref="A9:A10"/>
    <mergeCell ref="B9:B10"/>
    <mergeCell ref="C9:C10"/>
    <mergeCell ref="D9:D10"/>
  </mergeCells>
  <conditionalFormatting sqref="B27 B35">
    <cfRule type="containsText" dxfId="32" priority="13" stopIfTrue="1" operator="containsText" text="Громадський бюджет">
      <formula>NOT(ISERROR(SEARCH("Громадський бюджет",B27)))</formula>
    </cfRule>
    <cfRule type="containsText" dxfId="31" priority="14" stopIfTrue="1" operator="containsText" text="Громадський бюджет">
      <formula>NOT(ISERROR(SEARCH("Громадський бюджет",B27)))</formula>
    </cfRule>
  </conditionalFormatting>
  <conditionalFormatting sqref="B29">
    <cfRule type="containsText" dxfId="30" priority="15" stopIfTrue="1" operator="containsText" text="Громадський бюджет">
      <formula>NOT(ISERROR(SEARCH("Громадський бюджет",B29)))</formula>
    </cfRule>
    <cfRule type="containsText" dxfId="29" priority="16" stopIfTrue="1" operator="containsText" text="Громадський бюджет">
      <formula>NOT(ISERROR(SEARCH("Громадський бюджет",B29)))</formula>
    </cfRule>
  </conditionalFormatting>
  <conditionalFormatting sqref="B31">
    <cfRule type="containsText" dxfId="28" priority="11" stopIfTrue="1" operator="containsText" text="Громадський бюджет">
      <formula>NOT(ISERROR(SEARCH("Громадський бюджет",B31)))</formula>
    </cfRule>
    <cfRule type="containsText" dxfId="27" priority="12" stopIfTrue="1" operator="containsText" text="Громадський бюджет">
      <formula>NOT(ISERROR(SEARCH("Громадський бюджет",B31)))</formula>
    </cfRule>
  </conditionalFormatting>
  <conditionalFormatting sqref="B34">
    <cfRule type="containsText" dxfId="26" priority="9" stopIfTrue="1" operator="containsText" text="Громадський бюджет">
      <formula>NOT(ISERROR(SEARCH("Громадський бюджет",B34)))</formula>
    </cfRule>
    <cfRule type="containsText" dxfId="25" priority="10" stopIfTrue="1" operator="containsText" text="Громадський бюджет">
      <formula>NOT(ISERROR(SEARCH("Громадський бюджет",B34)))</formula>
    </cfRule>
  </conditionalFormatting>
  <conditionalFormatting sqref="B33">
    <cfRule type="containsText" dxfId="24" priority="7" stopIfTrue="1" operator="containsText" text="Громадський бюджет">
      <formula>NOT(ISERROR(SEARCH("Громадський бюджет",B33)))</formula>
    </cfRule>
    <cfRule type="containsText" dxfId="23" priority="8" stopIfTrue="1" operator="containsText" text="Громадський бюджет">
      <formula>NOT(ISERROR(SEARCH("Громадський бюджет",B33)))</formula>
    </cfRule>
  </conditionalFormatting>
  <conditionalFormatting sqref="B32">
    <cfRule type="containsText" dxfId="22" priority="5" stopIfTrue="1" operator="containsText" text="Громадський бюджет">
      <formula>NOT(ISERROR(SEARCH("Громадський бюджет",B32)))</formula>
    </cfRule>
    <cfRule type="containsText" dxfId="21" priority="6" stopIfTrue="1" operator="containsText" text="Громадський бюджет">
      <formula>NOT(ISERROR(SEARCH("Громадський бюджет",B32)))</formula>
    </cfRule>
  </conditionalFormatting>
  <conditionalFormatting sqref="B28">
    <cfRule type="containsText" dxfId="20" priority="3" stopIfTrue="1" operator="containsText" text="Громадський бюджет">
      <formula>NOT(ISERROR(SEARCH("Громадський бюджет",B28)))</formula>
    </cfRule>
    <cfRule type="containsText" dxfId="19" priority="4" stopIfTrue="1" operator="containsText" text="Громадський бюджет">
      <formula>NOT(ISERROR(SEARCH("Громадський бюджет",B28)))</formula>
    </cfRule>
  </conditionalFormatting>
  <conditionalFormatting sqref="B30">
    <cfRule type="containsText" dxfId="18" priority="1" stopIfTrue="1" operator="containsText" text="Громадський бюджет">
      <formula>NOT(ISERROR(SEARCH("Громадський бюджет",B30)))</formula>
    </cfRule>
    <cfRule type="containsText" dxfId="17" priority="2" stopIfTrue="1" operator="containsText" text="Громадський бюджет">
      <formula>NOT(ISERROR(SEARCH("Громадський бюджет",B30)))</formula>
    </cfRule>
  </conditionalFormatting>
  <pageMargins left="0.69" right="0.24" top="0.26" bottom="0.27" header="0.23622047244094491" footer="0.15748031496062992"/>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1604"/>
  <sheetViews>
    <sheetView zoomScale="90" zoomScaleNormal="90" workbookViewId="0">
      <pane xSplit="2" ySplit="10" topLeftCell="C531" activePane="bottomRight" state="frozen"/>
      <selection pane="topRight" activeCell="C1" sqref="C1"/>
      <selection pane="bottomLeft" activeCell="A13" sqref="A13"/>
      <selection pane="bottomRight" activeCell="B552" sqref="B552"/>
    </sheetView>
  </sheetViews>
  <sheetFormatPr defaultColWidth="9.109375" defaultRowHeight="13.2" x14ac:dyDescent="0.25"/>
  <cols>
    <col min="1" max="1" width="66.33203125" style="1" customWidth="1"/>
    <col min="2" max="2" width="14.88671875" style="2" customWidth="1"/>
    <col min="3" max="3" width="19" style="3" customWidth="1"/>
    <col min="4" max="4" width="21.33203125" style="3" hidden="1" customWidth="1"/>
    <col min="5" max="5" width="20.33203125" style="3" customWidth="1"/>
    <col min="6" max="6" width="8.109375" style="4" customWidth="1"/>
    <col min="7" max="7" width="12.6640625" style="4" hidden="1" customWidth="1"/>
    <col min="8" max="8" width="19.109375" style="5" customWidth="1"/>
    <col min="9" max="9" width="16.5546875" style="6" customWidth="1"/>
    <col min="10" max="10" width="10.88671875" style="6" customWidth="1"/>
    <col min="11" max="11" width="16" style="6" customWidth="1"/>
    <col min="12" max="12" width="14.88671875" style="6" customWidth="1"/>
    <col min="13" max="13" width="16.5546875" style="6" customWidth="1"/>
    <col min="14" max="14" width="12.5546875" style="8" customWidth="1"/>
    <col min="15" max="15" width="18" style="8" customWidth="1"/>
    <col min="16" max="16" width="14.5546875" style="8" customWidth="1"/>
    <col min="17" max="17" width="13.6640625" style="8" customWidth="1"/>
    <col min="18" max="18" width="17.6640625" style="8" customWidth="1"/>
    <col min="19" max="19" width="14.109375" style="8" customWidth="1"/>
    <col min="20" max="20" width="13.109375" style="8" customWidth="1"/>
    <col min="21" max="21" width="15.109375" style="8" customWidth="1"/>
    <col min="22" max="22" width="14" style="8" customWidth="1"/>
    <col min="23" max="23" width="12.6640625" style="8" customWidth="1"/>
    <col min="24" max="24" width="12.109375" style="8" customWidth="1"/>
    <col min="25" max="16384" width="9.109375" style="8"/>
  </cols>
  <sheetData>
    <row r="1" spans="1:15" ht="61.2" customHeight="1" x14ac:dyDescent="0.25">
      <c r="K1" s="7"/>
      <c r="L1" s="2044" t="s">
        <v>684</v>
      </c>
      <c r="M1" s="2044"/>
    </row>
    <row r="2" spans="1:15" ht="29.25" hidden="1" customHeight="1" x14ac:dyDescent="0.25">
      <c r="C2" s="9"/>
      <c r="D2" s="9"/>
      <c r="E2" s="9"/>
      <c r="F2" s="10"/>
      <c r="G2" s="10"/>
      <c r="H2" s="9"/>
      <c r="I2" s="9"/>
      <c r="J2" s="9"/>
      <c r="K2" s="11"/>
      <c r="L2" s="9"/>
      <c r="M2" s="9"/>
    </row>
    <row r="3" spans="1:15" ht="12.15" hidden="1" customHeight="1" x14ac:dyDescent="0.25">
      <c r="C3" s="9"/>
      <c r="D3" s="9"/>
      <c r="E3" s="9"/>
      <c r="F3" s="10"/>
      <c r="G3" s="10"/>
      <c r="H3" s="9"/>
      <c r="I3" s="9"/>
      <c r="J3" s="9"/>
      <c r="K3" s="11"/>
      <c r="L3" s="9"/>
      <c r="M3" s="9"/>
    </row>
    <row r="4" spans="1:15" ht="13.8" x14ac:dyDescent="0.25">
      <c r="G4" s="10"/>
      <c r="I4" s="9"/>
      <c r="J4" s="8"/>
      <c r="K4" s="11"/>
      <c r="L4" s="9"/>
      <c r="M4" s="9"/>
    </row>
    <row r="5" spans="1:15" ht="12.15" customHeight="1" x14ac:dyDescent="0.25">
      <c r="J5" s="7"/>
    </row>
    <row r="6" spans="1:15" ht="17.399999999999999" x14ac:dyDescent="0.3">
      <c r="A6" s="2045" t="s">
        <v>685</v>
      </c>
      <c r="B6" s="2045"/>
      <c r="C6" s="2046"/>
      <c r="D6" s="2047"/>
      <c r="E6" s="2046"/>
      <c r="F6" s="2048"/>
      <c r="G6" s="2049"/>
      <c r="H6" s="2050"/>
      <c r="I6" s="2051"/>
      <c r="J6" s="2051"/>
      <c r="K6" s="2051"/>
      <c r="L6" s="2051"/>
      <c r="M6" s="2051"/>
    </row>
    <row r="7" spans="1:15" ht="7.5" customHeight="1" x14ac:dyDescent="0.25">
      <c r="I7" s="12"/>
      <c r="J7" s="12"/>
      <c r="K7" s="12"/>
      <c r="L7" s="12"/>
    </row>
    <row r="8" spans="1:15" ht="13.8" x14ac:dyDescent="0.25">
      <c r="A8" s="2052" t="s">
        <v>0</v>
      </c>
      <c r="B8" s="2053" t="s">
        <v>1</v>
      </c>
      <c r="C8" s="2055" t="s">
        <v>2</v>
      </c>
      <c r="D8" s="2056"/>
      <c r="E8" s="2055"/>
      <c r="F8" s="2057"/>
      <c r="G8" s="576"/>
      <c r="H8" s="2058" t="s">
        <v>3</v>
      </c>
      <c r="I8" s="2059"/>
      <c r="J8" s="2059"/>
      <c r="K8" s="2059" t="s">
        <v>4</v>
      </c>
      <c r="L8" s="2060"/>
      <c r="M8" s="2060"/>
    </row>
    <row r="9" spans="1:15" ht="39" customHeight="1" x14ac:dyDescent="0.25">
      <c r="A9" s="2052"/>
      <c r="B9" s="2054"/>
      <c r="C9" s="13" t="s">
        <v>5</v>
      </c>
      <c r="D9" s="575" t="s">
        <v>6</v>
      </c>
      <c r="E9" s="13" t="s">
        <v>7</v>
      </c>
      <c r="F9" s="14" t="s">
        <v>8</v>
      </c>
      <c r="G9" s="576" t="s">
        <v>9</v>
      </c>
      <c r="H9" s="15" t="s">
        <v>5</v>
      </c>
      <c r="I9" s="13" t="s">
        <v>7</v>
      </c>
      <c r="J9" s="16" t="s">
        <v>8</v>
      </c>
      <c r="K9" s="13" t="s">
        <v>5</v>
      </c>
      <c r="L9" s="13" t="s">
        <v>7</v>
      </c>
      <c r="M9" s="16" t="s">
        <v>8</v>
      </c>
      <c r="O9" s="17"/>
    </row>
    <row r="10" spans="1:15" ht="149.25" hidden="1" customHeight="1" x14ac:dyDescent="0.25">
      <c r="A10" s="716" t="s">
        <v>10</v>
      </c>
      <c r="B10" s="717"/>
      <c r="C10" s="718"/>
      <c r="D10" s="18"/>
      <c r="E10" s="718"/>
      <c r="F10" s="565"/>
      <c r="G10" s="19"/>
      <c r="H10" s="719"/>
      <c r="I10" s="718"/>
      <c r="J10" s="565"/>
      <c r="K10" s="718"/>
      <c r="L10" s="718"/>
      <c r="M10" s="720"/>
      <c r="N10" s="8">
        <v>1</v>
      </c>
    </row>
    <row r="11" spans="1:15" s="27" customFormat="1" ht="30" customHeight="1" x14ac:dyDescent="0.25">
      <c r="A11" s="21" t="s">
        <v>11</v>
      </c>
      <c r="B11" s="22" t="s">
        <v>12</v>
      </c>
      <c r="C11" s="23">
        <f>SUM(C12,C23,C26,C31,C49,C60,C74)</f>
        <v>3663713.7</v>
      </c>
      <c r="D11" s="577">
        <f>SUM(D12,D23,D26,D31,D49,D60,D74)</f>
        <v>2751501.3499999996</v>
      </c>
      <c r="E11" s="23">
        <f>SUM(E12,E23,E26,E31,E49,E60,E74)</f>
        <v>2907658.9979299996</v>
      </c>
      <c r="F11" s="25">
        <f t="shared" ref="F11:F90" si="0">IFERROR(E11/C11,"")</f>
        <v>0.79363706774631415</v>
      </c>
      <c r="G11" s="579">
        <f>IFERROR(E11/D11,"")</f>
        <v>1.0567536148692058</v>
      </c>
      <c r="H11" s="23">
        <f>SUM(H12,H23,H26,H36,H49,H60,H74)</f>
        <v>19000</v>
      </c>
      <c r="I11" s="23">
        <f>SUM(I12,I23,I26,I36,I49,I60,I74)</f>
        <v>15474.867129999999</v>
      </c>
      <c r="J11" s="25">
        <f>IFERROR(I11/H11,"")</f>
        <v>0.81446669105263148</v>
      </c>
      <c r="K11" s="23">
        <f>SUM(C11,H11)</f>
        <v>3682713.7</v>
      </c>
      <c r="L11" s="23">
        <f>SUM(I11,E11)+0.02</f>
        <v>2923133.8850599998</v>
      </c>
      <c r="M11" s="25">
        <f t="shared" ref="M11:M89" si="1">IFERROR(L11/K11,"")</f>
        <v>0.79374453818117863</v>
      </c>
      <c r="N11" s="26"/>
    </row>
    <row r="12" spans="1:15" s="32" customFormat="1" ht="36" customHeight="1" x14ac:dyDescent="0.25">
      <c r="A12" s="28" t="s">
        <v>13</v>
      </c>
      <c r="B12" s="29">
        <v>11000000</v>
      </c>
      <c r="C12" s="30">
        <f>SUM(C13,C20)</f>
        <v>2116991.9</v>
      </c>
      <c r="D12" s="578">
        <f>SUM(D13,D20)</f>
        <v>1569933.15</v>
      </c>
      <c r="E12" s="30">
        <f>SUM(E13,E20)</f>
        <v>1674344.1940599999</v>
      </c>
      <c r="F12" s="31">
        <f t="shared" si="0"/>
        <v>0.79090722740129515</v>
      </c>
      <c r="G12" s="580">
        <f t="shared" ref="G12:G90" si="2">IFERROR(E12/D12,"")</f>
        <v>1.0665066815488291</v>
      </c>
      <c r="H12" s="30">
        <f>SUM(H13,H20)</f>
        <v>0</v>
      </c>
      <c r="I12" s="30">
        <f>SUM(I13,I20)</f>
        <v>0</v>
      </c>
      <c r="J12" s="31" t="str">
        <f t="shared" ref="J12:J90" si="3">IFERROR(I12/H12,"")</f>
        <v/>
      </c>
      <c r="K12" s="30">
        <f>SUM(C12,H12)</f>
        <v>2116991.9</v>
      </c>
      <c r="L12" s="30">
        <f>SUM(I12,E12)</f>
        <v>1674344.1940599999</v>
      </c>
      <c r="M12" s="31">
        <f t="shared" si="1"/>
        <v>0.79090722740129515</v>
      </c>
      <c r="N12" s="26"/>
    </row>
    <row r="13" spans="1:15" ht="15.75" customHeight="1" x14ac:dyDescent="0.25">
      <c r="A13" s="33" t="s">
        <v>14</v>
      </c>
      <c r="B13" s="20">
        <v>11010000</v>
      </c>
      <c r="C13" s="34">
        <v>2100791.9</v>
      </c>
      <c r="D13" s="80">
        <v>1559933.15</v>
      </c>
      <c r="E13" s="34">
        <v>1673401.28874</v>
      </c>
      <c r="F13" s="115">
        <f t="shared" si="0"/>
        <v>0.79655737854853692</v>
      </c>
      <c r="G13" s="581">
        <f t="shared" si="2"/>
        <v>1.0727391034288873</v>
      </c>
      <c r="H13" s="117"/>
      <c r="I13" s="117"/>
      <c r="J13" s="115" t="str">
        <f t="shared" si="3"/>
        <v/>
      </c>
      <c r="K13" s="34">
        <f>SUM(C13,H13)</f>
        <v>2100791.9</v>
      </c>
      <c r="L13" s="34">
        <f>SUM(I13,E13)</f>
        <v>1673401.28874</v>
      </c>
      <c r="M13" s="115">
        <f t="shared" si="1"/>
        <v>0.79655737854853692</v>
      </c>
      <c r="N13" s="37"/>
      <c r="O13" s="38"/>
    </row>
    <row r="14" spans="1:15" ht="31.2" customHeight="1" x14ac:dyDescent="0.25">
      <c r="A14" s="39" t="s">
        <v>15</v>
      </c>
      <c r="B14" s="20" t="s">
        <v>16</v>
      </c>
      <c r="C14" s="34">
        <v>1998547.7</v>
      </c>
      <c r="D14" s="80">
        <v>1478000</v>
      </c>
      <c r="E14" s="34">
        <v>1582017.07085</v>
      </c>
      <c r="F14" s="115">
        <f t="shared" si="0"/>
        <v>0.79158334367000605</v>
      </c>
      <c r="G14" s="581">
        <f t="shared" si="2"/>
        <v>1.0703769085588632</v>
      </c>
      <c r="H14" s="117"/>
      <c r="I14" s="117"/>
      <c r="J14" s="115"/>
      <c r="K14" s="34">
        <f t="shared" ref="K14:K19" si="4">SUM(C14,H14)</f>
        <v>1998547.7</v>
      </c>
      <c r="L14" s="34">
        <f t="shared" ref="L14:L19" si="5">SUM(I14,E14)</f>
        <v>1582017.07085</v>
      </c>
      <c r="M14" s="115">
        <f t="shared" si="1"/>
        <v>0.79158334367000605</v>
      </c>
      <c r="N14" s="37"/>
      <c r="O14" s="38"/>
    </row>
    <row r="15" spans="1:15" ht="57.6" customHeight="1" x14ac:dyDescent="0.25">
      <c r="A15" s="40" t="s">
        <v>17</v>
      </c>
      <c r="B15" s="20" t="s">
        <v>18</v>
      </c>
      <c r="C15" s="34">
        <v>0</v>
      </c>
      <c r="D15" s="80"/>
      <c r="E15" s="34">
        <v>-1406.69121</v>
      </c>
      <c r="F15" s="115" t="str">
        <f t="shared" si="0"/>
        <v/>
      </c>
      <c r="G15" s="581" t="str">
        <f t="shared" si="2"/>
        <v/>
      </c>
      <c r="H15" s="117"/>
      <c r="I15" s="117"/>
      <c r="J15" s="115"/>
      <c r="K15" s="34">
        <f t="shared" si="4"/>
        <v>0</v>
      </c>
      <c r="L15" s="34">
        <f t="shared" si="5"/>
        <v>-1406.69121</v>
      </c>
      <c r="M15" s="115" t="str">
        <f t="shared" si="1"/>
        <v/>
      </c>
      <c r="N15" s="37"/>
      <c r="O15" s="38"/>
    </row>
    <row r="16" spans="1:15" ht="30" customHeight="1" x14ac:dyDescent="0.25">
      <c r="A16" s="41" t="s">
        <v>19</v>
      </c>
      <c r="B16" s="20">
        <v>11010400</v>
      </c>
      <c r="C16" s="35">
        <v>54000</v>
      </c>
      <c r="D16" s="80">
        <v>44000</v>
      </c>
      <c r="E16" s="34">
        <v>39716.936460000004</v>
      </c>
      <c r="F16" s="115">
        <f t="shared" si="0"/>
        <v>0.73549882333333338</v>
      </c>
      <c r="G16" s="581">
        <f t="shared" si="2"/>
        <v>0.90265764681818195</v>
      </c>
      <c r="H16" s="117"/>
      <c r="I16" s="117"/>
      <c r="J16" s="115" t="str">
        <f t="shared" si="3"/>
        <v/>
      </c>
      <c r="K16" s="34">
        <f t="shared" si="4"/>
        <v>54000</v>
      </c>
      <c r="L16" s="34">
        <f t="shared" si="5"/>
        <v>39716.936460000004</v>
      </c>
      <c r="M16" s="115">
        <f t="shared" si="1"/>
        <v>0.73549882333333338</v>
      </c>
      <c r="N16" s="37"/>
      <c r="O16" s="43"/>
    </row>
    <row r="17" spans="1:15" ht="30" customHeight="1" x14ac:dyDescent="0.25">
      <c r="A17" s="40" t="s">
        <v>20</v>
      </c>
      <c r="B17" s="20" t="s">
        <v>21</v>
      </c>
      <c r="C17" s="35">
        <v>46400</v>
      </c>
      <c r="D17" s="80">
        <v>36800</v>
      </c>
      <c r="E17" s="34">
        <v>50266.567710000003</v>
      </c>
      <c r="F17" s="115">
        <f t="shared" si="0"/>
        <v>1.0833312006465519</v>
      </c>
      <c r="G17" s="581">
        <f t="shared" si="2"/>
        <v>1.3659393399456523</v>
      </c>
      <c r="H17" s="117"/>
      <c r="I17" s="117"/>
      <c r="J17" s="115"/>
      <c r="K17" s="34">
        <f t="shared" si="4"/>
        <v>46400</v>
      </c>
      <c r="L17" s="34">
        <f t="shared" si="5"/>
        <v>50266.567710000003</v>
      </c>
      <c r="M17" s="115">
        <f t="shared" si="1"/>
        <v>1.0833312006465519</v>
      </c>
      <c r="N17" s="37"/>
      <c r="O17" s="43"/>
    </row>
    <row r="18" spans="1:15" ht="25.2" customHeight="1" x14ac:dyDescent="0.25">
      <c r="A18" s="39" t="s">
        <v>22</v>
      </c>
      <c r="B18" s="44" t="s">
        <v>23</v>
      </c>
      <c r="C18" s="35">
        <v>1444.2</v>
      </c>
      <c r="D18" s="80">
        <v>1083.1500000000001</v>
      </c>
      <c r="E18" s="34">
        <v>2691.1408199999996</v>
      </c>
      <c r="F18" s="115">
        <f t="shared" si="0"/>
        <v>1.8634128375571248</v>
      </c>
      <c r="G18" s="581">
        <f t="shared" si="2"/>
        <v>2.4845504500761662</v>
      </c>
      <c r="H18" s="117"/>
      <c r="I18" s="117"/>
      <c r="J18" s="115"/>
      <c r="K18" s="34">
        <f t="shared" si="4"/>
        <v>1444.2</v>
      </c>
      <c r="L18" s="34">
        <f t="shared" si="5"/>
        <v>2691.1408199999996</v>
      </c>
      <c r="M18" s="115">
        <f t="shared" si="1"/>
        <v>1.8634128375571248</v>
      </c>
      <c r="N18" s="37"/>
      <c r="O18" s="43"/>
    </row>
    <row r="19" spans="1:15" ht="30" customHeight="1" x14ac:dyDescent="0.25">
      <c r="A19" s="40" t="s">
        <v>24</v>
      </c>
      <c r="B19" s="20" t="s">
        <v>25</v>
      </c>
      <c r="C19" s="35">
        <v>400</v>
      </c>
      <c r="D19" s="80">
        <v>50</v>
      </c>
      <c r="E19" s="34">
        <v>116.26411</v>
      </c>
      <c r="F19" s="115">
        <f t="shared" si="0"/>
        <v>0.29066027500000002</v>
      </c>
      <c r="G19" s="581">
        <f t="shared" si="2"/>
        <v>2.3252822000000002</v>
      </c>
      <c r="H19" s="117"/>
      <c r="I19" s="117"/>
      <c r="J19" s="115"/>
      <c r="K19" s="34">
        <f t="shared" si="4"/>
        <v>400</v>
      </c>
      <c r="L19" s="34">
        <f t="shared" si="5"/>
        <v>116.26411</v>
      </c>
      <c r="M19" s="115">
        <f t="shared" si="1"/>
        <v>0.29066027500000002</v>
      </c>
      <c r="N19" s="37"/>
      <c r="O19" s="43"/>
    </row>
    <row r="20" spans="1:15" ht="21" customHeight="1" x14ac:dyDescent="0.25">
      <c r="A20" s="41" t="s">
        <v>26</v>
      </c>
      <c r="B20" s="20">
        <v>11020000</v>
      </c>
      <c r="C20" s="34">
        <v>16200</v>
      </c>
      <c r="D20" s="141">
        <v>10000</v>
      </c>
      <c r="E20" s="34">
        <v>942.90531999999996</v>
      </c>
      <c r="F20" s="115">
        <f t="shared" si="0"/>
        <v>5.8204032098765429E-2</v>
      </c>
      <c r="G20" s="581">
        <f t="shared" si="2"/>
        <v>9.4290531999999996E-2</v>
      </c>
      <c r="H20" s="117">
        <f>H21</f>
        <v>0</v>
      </c>
      <c r="I20" s="117">
        <f>I21</f>
        <v>0</v>
      </c>
      <c r="J20" s="115" t="str">
        <f t="shared" si="3"/>
        <v/>
      </c>
      <c r="K20" s="34">
        <f>SUM(C20,H20)</f>
        <v>16200</v>
      </c>
      <c r="L20" s="34">
        <f>SUM(I20,E20)</f>
        <v>942.90531999999996</v>
      </c>
      <c r="M20" s="115">
        <f t="shared" si="1"/>
        <v>5.8204032098765429E-2</v>
      </c>
      <c r="N20" s="37" t="e">
        <f>#N/A</f>
        <v>#N/A</v>
      </c>
      <c r="O20" s="38"/>
    </row>
    <row r="21" spans="1:15" ht="33.6" customHeight="1" x14ac:dyDescent="0.25">
      <c r="A21" s="45" t="s">
        <v>27</v>
      </c>
      <c r="B21" s="46">
        <v>11020200</v>
      </c>
      <c r="C21" s="34">
        <v>16200</v>
      </c>
      <c r="D21" s="80">
        <v>10000</v>
      </c>
      <c r="E21" s="34">
        <v>942.90531999999996</v>
      </c>
      <c r="F21" s="115">
        <f t="shared" si="0"/>
        <v>5.8204032098765429E-2</v>
      </c>
      <c r="G21" s="581">
        <f t="shared" si="2"/>
        <v>9.4290531999999996E-2</v>
      </c>
      <c r="H21" s="117"/>
      <c r="I21" s="117"/>
      <c r="J21" s="115" t="str">
        <f t="shared" si="3"/>
        <v/>
      </c>
      <c r="K21" s="34">
        <f>SUM(C21,H21)</f>
        <v>16200</v>
      </c>
      <c r="L21" s="34">
        <f>SUM(I21,E21)</f>
        <v>942.90531999999996</v>
      </c>
      <c r="M21" s="115">
        <f t="shared" si="1"/>
        <v>5.8204032098765429E-2</v>
      </c>
      <c r="N21" s="37" t="e">
        <f>#N/A</f>
        <v>#N/A</v>
      </c>
      <c r="O21" s="38"/>
    </row>
    <row r="22" spans="1:15" ht="51.75" hidden="1" customHeight="1" x14ac:dyDescent="0.25">
      <c r="A22" s="721" t="s">
        <v>28</v>
      </c>
      <c r="B22" s="722">
        <v>11023200</v>
      </c>
      <c r="C22" s="48"/>
      <c r="D22" s="48"/>
      <c r="E22" s="48"/>
      <c r="F22" s="723" t="str">
        <f t="shared" si="0"/>
        <v/>
      </c>
      <c r="G22" s="49" t="str">
        <f t="shared" si="2"/>
        <v/>
      </c>
      <c r="H22" s="48"/>
      <c r="I22" s="48"/>
      <c r="J22" s="723" t="str">
        <f t="shared" si="3"/>
        <v/>
      </c>
      <c r="K22" s="724" t="e">
        <f>#N/A</f>
        <v>#N/A</v>
      </c>
      <c r="L22" s="724" t="e">
        <f>#N/A</f>
        <v>#N/A</v>
      </c>
      <c r="M22" s="723" t="str">
        <f t="shared" si="1"/>
        <v/>
      </c>
      <c r="N22" s="37" t="e">
        <f>#N/A</f>
        <v>#N/A</v>
      </c>
      <c r="O22" s="42"/>
    </row>
    <row r="23" spans="1:15" s="32" customFormat="1" ht="39.75" hidden="1" customHeight="1" x14ac:dyDescent="0.25">
      <c r="A23" s="51" t="s">
        <v>29</v>
      </c>
      <c r="B23" s="52">
        <v>12000000</v>
      </c>
      <c r="C23" s="53">
        <f>C24</f>
        <v>0</v>
      </c>
      <c r="D23" s="53">
        <f>D24</f>
        <v>0</v>
      </c>
      <c r="E23" s="53">
        <f>E24</f>
        <v>0</v>
      </c>
      <c r="F23" s="54" t="str">
        <f t="shared" si="0"/>
        <v/>
      </c>
      <c r="G23" s="54" t="str">
        <f t="shared" si="2"/>
        <v/>
      </c>
      <c r="H23" s="55">
        <f>H24+H25</f>
        <v>0</v>
      </c>
      <c r="I23" s="55">
        <f>I24+I25</f>
        <v>0</v>
      </c>
      <c r="J23" s="56" t="str">
        <f t="shared" si="3"/>
        <v/>
      </c>
      <c r="K23" s="57"/>
      <c r="L23" s="57">
        <f>SUM(I23,E23)</f>
        <v>0</v>
      </c>
      <c r="M23" s="56" t="str">
        <f t="shared" si="1"/>
        <v/>
      </c>
      <c r="N23" s="26" t="e">
        <f>#N/A</f>
        <v>#N/A</v>
      </c>
      <c r="O23" s="38"/>
    </row>
    <row r="24" spans="1:15" ht="40.5" hidden="1" customHeight="1" x14ac:dyDescent="0.25">
      <c r="A24" s="58" t="s">
        <v>30</v>
      </c>
      <c r="B24" s="59">
        <v>12020000</v>
      </c>
      <c r="C24" s="60"/>
      <c r="D24" s="60"/>
      <c r="E24" s="60"/>
      <c r="F24" s="61" t="str">
        <f t="shared" si="0"/>
        <v/>
      </c>
      <c r="G24" s="61" t="str">
        <f t="shared" si="2"/>
        <v/>
      </c>
      <c r="H24" s="62">
        <v>0</v>
      </c>
      <c r="I24" s="60"/>
      <c r="J24" s="63" t="str">
        <f t="shared" si="3"/>
        <v/>
      </c>
      <c r="K24" s="64"/>
      <c r="L24" s="64">
        <f>SUM(I24,E24)</f>
        <v>0</v>
      </c>
      <c r="M24" s="63" t="str">
        <f t="shared" si="1"/>
        <v/>
      </c>
      <c r="N24" s="37" t="e">
        <f>#N/A</f>
        <v>#N/A</v>
      </c>
      <c r="O24" s="38"/>
    </row>
    <row r="25" spans="1:15" ht="44.25" hidden="1" customHeight="1" x14ac:dyDescent="0.25">
      <c r="A25" s="65" t="s">
        <v>31</v>
      </c>
      <c r="B25" s="620">
        <v>12030000</v>
      </c>
      <c r="C25" s="66"/>
      <c r="D25" s="67"/>
      <c r="E25" s="66"/>
      <c r="F25" s="621" t="str">
        <f t="shared" si="0"/>
        <v/>
      </c>
      <c r="G25" s="63" t="str">
        <f t="shared" si="2"/>
        <v/>
      </c>
      <c r="H25" s="68"/>
      <c r="I25" s="68"/>
      <c r="J25" s="621" t="str">
        <f t="shared" si="3"/>
        <v/>
      </c>
      <c r="K25" s="509" t="e">
        <f>#N/A</f>
        <v>#N/A</v>
      </c>
      <c r="L25" s="509" t="e">
        <f>#N/A</f>
        <v>#N/A</v>
      </c>
      <c r="M25" s="499" t="str">
        <f t="shared" si="1"/>
        <v/>
      </c>
      <c r="N25" s="37"/>
      <c r="O25" s="42"/>
    </row>
    <row r="26" spans="1:15" s="32" customFormat="1" ht="19.5" customHeight="1" x14ac:dyDescent="0.25">
      <c r="A26" s="873" t="s">
        <v>32</v>
      </c>
      <c r="B26" s="29">
        <v>13000000</v>
      </c>
      <c r="C26" s="30">
        <v>245.2</v>
      </c>
      <c r="D26" s="80">
        <v>130.19999999999999</v>
      </c>
      <c r="E26" s="30">
        <v>34.097559999999994</v>
      </c>
      <c r="F26" s="31">
        <f t="shared" si="0"/>
        <v>0.13906019575856443</v>
      </c>
      <c r="G26" s="581">
        <f t="shared" si="2"/>
        <v>0.26188602150537632</v>
      </c>
      <c r="H26" s="30">
        <f>SUM(H27:H30)</f>
        <v>0</v>
      </c>
      <c r="I26" s="30">
        <f>SUM(I27,I28,I29,I30)</f>
        <v>0</v>
      </c>
      <c r="J26" s="31" t="str">
        <f t="shared" si="3"/>
        <v/>
      </c>
      <c r="K26" s="30">
        <f>SUM(C26,H26)</f>
        <v>245.2</v>
      </c>
      <c r="L26" s="30">
        <f>SUM(I26,E26)</f>
        <v>34.097559999999994</v>
      </c>
      <c r="M26" s="31">
        <f t="shared" si="1"/>
        <v>0.13906019575856443</v>
      </c>
      <c r="N26" s="26">
        <f>SUM(C26:M26)</f>
        <v>689.33512641302264</v>
      </c>
      <c r="O26" s="38"/>
    </row>
    <row r="27" spans="1:15" ht="18" customHeight="1" x14ac:dyDescent="0.25">
      <c r="A27" s="69" t="s">
        <v>33</v>
      </c>
      <c r="B27" s="20">
        <v>13010000</v>
      </c>
      <c r="C27" s="34">
        <v>0.2</v>
      </c>
      <c r="D27" s="80">
        <v>0.2</v>
      </c>
      <c r="E27" s="34">
        <v>1.01386</v>
      </c>
      <c r="F27" s="115">
        <f t="shared" si="0"/>
        <v>5.0692999999999993</v>
      </c>
      <c r="G27" s="581">
        <f t="shared" si="2"/>
        <v>5.0692999999999993</v>
      </c>
      <c r="H27" s="117"/>
      <c r="I27" s="117"/>
      <c r="J27" s="115" t="str">
        <f t="shared" si="3"/>
        <v/>
      </c>
      <c r="K27" s="34">
        <f>SUM(C27,H27)</f>
        <v>0.2</v>
      </c>
      <c r="L27" s="34">
        <f>SUM(I27,E27)</f>
        <v>1.01386</v>
      </c>
      <c r="M27" s="115">
        <f t="shared" si="1"/>
        <v>5.0692999999999993</v>
      </c>
      <c r="N27" s="37">
        <f>SUM(C27:M27)</f>
        <v>17.835619999999999</v>
      </c>
      <c r="O27" s="38"/>
    </row>
    <row r="28" spans="1:15" ht="21.75" customHeight="1" x14ac:dyDescent="0.25">
      <c r="A28" s="69" t="s">
        <v>34</v>
      </c>
      <c r="B28" s="20">
        <v>13020000</v>
      </c>
      <c r="C28" s="34">
        <v>7.2</v>
      </c>
      <c r="D28" s="80">
        <v>5.4</v>
      </c>
      <c r="E28" s="34">
        <v>-4.6813000000000002</v>
      </c>
      <c r="F28" s="115">
        <f t="shared" si="0"/>
        <v>-0.65018055555555554</v>
      </c>
      <c r="G28" s="583">
        <f t="shared" si="2"/>
        <v>-0.86690740740740735</v>
      </c>
      <c r="H28" s="70"/>
      <c r="I28" s="70"/>
      <c r="J28" s="19" t="str">
        <f t="shared" si="3"/>
        <v/>
      </c>
      <c r="K28" s="34">
        <f>SUM(C28,H28)</f>
        <v>7.2</v>
      </c>
      <c r="L28" s="34">
        <f>SUM(I28,E28)</f>
        <v>-4.6813000000000002</v>
      </c>
      <c r="M28" s="115">
        <f t="shared" si="1"/>
        <v>-0.65018055555555554</v>
      </c>
      <c r="N28" s="37">
        <f>SUM(C28:M28)</f>
        <v>8.2701314814814815</v>
      </c>
      <c r="O28" s="38"/>
    </row>
    <row r="29" spans="1:15" ht="12.75" customHeight="1" x14ac:dyDescent="0.25">
      <c r="A29" s="71" t="s">
        <v>35</v>
      </c>
      <c r="B29" s="20">
        <v>13030000</v>
      </c>
      <c r="C29" s="34">
        <v>32.799999999999997</v>
      </c>
      <c r="D29" s="80">
        <v>24.6</v>
      </c>
      <c r="E29" s="34">
        <v>37.424999999999997</v>
      </c>
      <c r="F29" s="115">
        <f t="shared" si="0"/>
        <v>1.1410060975609757</v>
      </c>
      <c r="G29" s="581">
        <f t="shared" si="2"/>
        <v>1.5213414634146338</v>
      </c>
      <c r="H29" s="117"/>
      <c r="I29" s="117"/>
      <c r="J29" s="115" t="str">
        <f t="shared" si="3"/>
        <v/>
      </c>
      <c r="K29" s="34">
        <f>SUM(C29,H29)</f>
        <v>32.799999999999997</v>
      </c>
      <c r="L29" s="34">
        <f>SUM(I29,E29)</f>
        <v>37.424999999999997</v>
      </c>
      <c r="M29" s="115">
        <f t="shared" si="1"/>
        <v>1.1410060975609757</v>
      </c>
      <c r="N29" s="37"/>
      <c r="O29" s="72"/>
    </row>
    <row r="30" spans="1:15" ht="12.75" customHeight="1" x14ac:dyDescent="0.25">
      <c r="A30" s="71" t="s">
        <v>36</v>
      </c>
      <c r="B30" s="20">
        <v>13040000</v>
      </c>
      <c r="C30" s="34">
        <v>205</v>
      </c>
      <c r="D30" s="80">
        <v>100</v>
      </c>
      <c r="E30" s="34">
        <v>0.34</v>
      </c>
      <c r="F30" s="115">
        <f t="shared" si="0"/>
        <v>1.6585365853658538E-3</v>
      </c>
      <c r="G30" s="581">
        <f t="shared" si="2"/>
        <v>3.4000000000000002E-3</v>
      </c>
      <c r="H30" s="70"/>
      <c r="I30" s="70"/>
      <c r="J30" s="19" t="str">
        <f t="shared" si="3"/>
        <v/>
      </c>
      <c r="K30" s="34">
        <f>SUM(C30,H30)</f>
        <v>205</v>
      </c>
      <c r="L30" s="34">
        <f>SUM(I30,E30)</f>
        <v>0.34</v>
      </c>
      <c r="M30" s="115">
        <f t="shared" si="1"/>
        <v>1.6585365853658538E-3</v>
      </c>
      <c r="N30" s="37">
        <f>SUM(C30:M30)</f>
        <v>510.68671707317066</v>
      </c>
      <c r="O30" s="38"/>
    </row>
    <row r="31" spans="1:15" ht="16.5" customHeight="1" x14ac:dyDescent="0.25">
      <c r="A31" s="28" t="s">
        <v>37</v>
      </c>
      <c r="B31" s="74" t="s">
        <v>38</v>
      </c>
      <c r="C31" s="75">
        <f>C32+C34+C36</f>
        <v>482100.6</v>
      </c>
      <c r="D31" s="582">
        <f>D32+D34+D36</f>
        <v>374320</v>
      </c>
      <c r="E31" s="75">
        <f>E32+E34+E36</f>
        <v>307703.13464</v>
      </c>
      <c r="F31" s="31">
        <f t="shared" si="0"/>
        <v>0.63825503357597979</v>
      </c>
      <c r="G31" s="584">
        <f t="shared" si="2"/>
        <v>0.82203231096388119</v>
      </c>
      <c r="H31" s="75"/>
      <c r="I31" s="75"/>
      <c r="J31" s="76" t="str">
        <f t="shared" si="3"/>
        <v/>
      </c>
      <c r="K31" s="30">
        <f t="shared" ref="K31:K38" si="6">SUM(C31,H31)</f>
        <v>482100.6</v>
      </c>
      <c r="L31" s="30">
        <f t="shared" ref="L31:L38" si="7">SUM(I31,E31)</f>
        <v>307703.13464</v>
      </c>
      <c r="M31" s="31">
        <f t="shared" si="1"/>
        <v>0.63825503357597979</v>
      </c>
      <c r="N31" s="37"/>
      <c r="O31" s="38"/>
    </row>
    <row r="32" spans="1:15" ht="25.2" customHeight="1" x14ac:dyDescent="0.25">
      <c r="A32" s="77" t="s">
        <v>39</v>
      </c>
      <c r="B32" s="20" t="s">
        <v>40</v>
      </c>
      <c r="C32" s="34">
        <v>25740</v>
      </c>
      <c r="D32" s="80">
        <v>19740</v>
      </c>
      <c r="E32" s="34">
        <v>14511.054900000001</v>
      </c>
      <c r="F32" s="115">
        <f t="shared" si="0"/>
        <v>0.56375504662004661</v>
      </c>
      <c r="G32" s="581">
        <f t="shared" si="2"/>
        <v>0.73510916413373861</v>
      </c>
      <c r="H32" s="70"/>
      <c r="I32" s="70"/>
      <c r="J32" s="19" t="str">
        <f t="shared" si="3"/>
        <v/>
      </c>
      <c r="K32" s="34">
        <f t="shared" si="6"/>
        <v>25740</v>
      </c>
      <c r="L32" s="34">
        <f t="shared" si="7"/>
        <v>14511.054900000001</v>
      </c>
      <c r="M32" s="115">
        <f t="shared" si="1"/>
        <v>0.56375504662004661</v>
      </c>
      <c r="N32" s="37"/>
      <c r="O32" s="38"/>
    </row>
    <row r="33" spans="1:15" ht="13.8" x14ac:dyDescent="0.25">
      <c r="A33" s="77" t="s">
        <v>41</v>
      </c>
      <c r="B33" s="20" t="s">
        <v>42</v>
      </c>
      <c r="C33" s="34">
        <v>25740</v>
      </c>
      <c r="D33" s="80">
        <v>19740</v>
      </c>
      <c r="E33" s="34">
        <v>14511.054900000001</v>
      </c>
      <c r="F33" s="115">
        <f t="shared" si="0"/>
        <v>0.56375504662004661</v>
      </c>
      <c r="G33" s="581">
        <f t="shared" si="2"/>
        <v>0.73510916413373861</v>
      </c>
      <c r="H33" s="70"/>
      <c r="I33" s="70"/>
      <c r="J33" s="19" t="str">
        <f t="shared" si="3"/>
        <v/>
      </c>
      <c r="K33" s="34">
        <f t="shared" si="6"/>
        <v>25740</v>
      </c>
      <c r="L33" s="34">
        <f t="shared" si="7"/>
        <v>14511.054900000001</v>
      </c>
      <c r="M33" s="115">
        <f t="shared" si="1"/>
        <v>0.56375504662004661</v>
      </c>
      <c r="N33" s="37"/>
      <c r="O33" s="38"/>
    </row>
    <row r="34" spans="1:15" ht="35.4" customHeight="1" x14ac:dyDescent="0.25">
      <c r="A34" s="77" t="s">
        <v>43</v>
      </c>
      <c r="B34" s="20" t="s">
        <v>44</v>
      </c>
      <c r="C34" s="34">
        <v>102660</v>
      </c>
      <c r="D34" s="80">
        <v>79000</v>
      </c>
      <c r="E34" s="34">
        <v>91874.436359999992</v>
      </c>
      <c r="F34" s="115">
        <f t="shared" si="0"/>
        <v>0.89493898655756865</v>
      </c>
      <c r="G34" s="581">
        <f t="shared" si="2"/>
        <v>1.1629675488607594</v>
      </c>
      <c r="H34" s="70"/>
      <c r="I34" s="70"/>
      <c r="J34" s="19" t="str">
        <f t="shared" si="3"/>
        <v/>
      </c>
      <c r="K34" s="34">
        <f t="shared" si="6"/>
        <v>102660</v>
      </c>
      <c r="L34" s="34">
        <f t="shared" si="7"/>
        <v>91874.436359999992</v>
      </c>
      <c r="M34" s="115">
        <f t="shared" si="1"/>
        <v>0.89493898655756865</v>
      </c>
      <c r="N34" s="37"/>
      <c r="O34" s="38"/>
    </row>
    <row r="35" spans="1:15" ht="17.25" customHeight="1" x14ac:dyDescent="0.25">
      <c r="A35" s="77" t="s">
        <v>41</v>
      </c>
      <c r="B35" s="20" t="s">
        <v>45</v>
      </c>
      <c r="C35" s="34">
        <v>102660</v>
      </c>
      <c r="D35" s="80">
        <v>79000</v>
      </c>
      <c r="E35" s="34">
        <v>91874.436359999992</v>
      </c>
      <c r="F35" s="115">
        <f t="shared" si="0"/>
        <v>0.89493898655756865</v>
      </c>
      <c r="G35" s="581">
        <f t="shared" si="2"/>
        <v>1.1629675488607594</v>
      </c>
      <c r="H35" s="70"/>
      <c r="I35" s="70"/>
      <c r="J35" s="19" t="str">
        <f t="shared" si="3"/>
        <v/>
      </c>
      <c r="K35" s="34">
        <f t="shared" si="6"/>
        <v>102660</v>
      </c>
      <c r="L35" s="34">
        <f t="shared" si="7"/>
        <v>91874.436359999992</v>
      </c>
      <c r="M35" s="115">
        <f t="shared" si="1"/>
        <v>0.89493898655756865</v>
      </c>
      <c r="N35" s="37"/>
      <c r="O35" s="38"/>
    </row>
    <row r="36" spans="1:15" s="32" customFormat="1" ht="30.6" customHeight="1" x14ac:dyDescent="0.25">
      <c r="A36" s="78" t="s">
        <v>46</v>
      </c>
      <c r="B36" s="79">
        <v>14040000</v>
      </c>
      <c r="C36" s="34">
        <v>353700.6</v>
      </c>
      <c r="D36" s="80">
        <v>275580</v>
      </c>
      <c r="E36" s="34">
        <v>201317.64337999999</v>
      </c>
      <c r="F36" s="115">
        <f t="shared" si="0"/>
        <v>0.5691752950942125</v>
      </c>
      <c r="G36" s="581">
        <f t="shared" si="2"/>
        <v>0.73052341744683935</v>
      </c>
      <c r="H36" s="30">
        <f>SUM(H39,H40,H47)</f>
        <v>0</v>
      </c>
      <c r="I36" s="30">
        <f>SUM(I39,I40,I47)</f>
        <v>0</v>
      </c>
      <c r="J36" s="31" t="str">
        <f t="shared" si="3"/>
        <v/>
      </c>
      <c r="K36" s="34">
        <f t="shared" si="6"/>
        <v>353700.6</v>
      </c>
      <c r="L36" s="34">
        <f t="shared" si="7"/>
        <v>201317.64337999999</v>
      </c>
      <c r="M36" s="115">
        <f t="shared" si="1"/>
        <v>0.5691752950942125</v>
      </c>
      <c r="N36" s="26"/>
      <c r="O36" s="38"/>
    </row>
    <row r="37" spans="1:15" s="32" customFormat="1" ht="70.8" customHeight="1" x14ac:dyDescent="0.25">
      <c r="A37" s="78" t="s">
        <v>47</v>
      </c>
      <c r="B37" s="79" t="s">
        <v>48</v>
      </c>
      <c r="C37" s="34">
        <v>251580</v>
      </c>
      <c r="D37" s="81">
        <v>195580</v>
      </c>
      <c r="E37" s="34">
        <v>123715.77793000001</v>
      </c>
      <c r="F37" s="115">
        <f t="shared" si="0"/>
        <v>0.49175521873757855</v>
      </c>
      <c r="G37" s="581">
        <f t="shared" si="2"/>
        <v>0.63255843097453734</v>
      </c>
      <c r="H37" s="30"/>
      <c r="I37" s="30"/>
      <c r="J37" s="31"/>
      <c r="K37" s="34">
        <f t="shared" si="6"/>
        <v>251580</v>
      </c>
      <c r="L37" s="34">
        <f t="shared" si="7"/>
        <v>123715.77793000001</v>
      </c>
      <c r="M37" s="115">
        <f t="shared" si="1"/>
        <v>0.49175521873757855</v>
      </c>
      <c r="N37" s="26"/>
      <c r="O37" s="38"/>
    </row>
    <row r="38" spans="1:15" s="32" customFormat="1" ht="49.2" customHeight="1" x14ac:dyDescent="0.25">
      <c r="A38" s="78" t="s">
        <v>49</v>
      </c>
      <c r="B38" s="79" t="s">
        <v>50</v>
      </c>
      <c r="C38" s="34">
        <v>102120.6</v>
      </c>
      <c r="D38" s="81">
        <v>80000</v>
      </c>
      <c r="E38" s="34">
        <v>77601.865449999998</v>
      </c>
      <c r="F38" s="115">
        <f t="shared" si="0"/>
        <v>0.75990412757073489</v>
      </c>
      <c r="G38" s="581">
        <f t="shared" si="2"/>
        <v>0.97002331812499998</v>
      </c>
      <c r="H38" s="30"/>
      <c r="I38" s="30"/>
      <c r="J38" s="31"/>
      <c r="K38" s="34">
        <f t="shared" si="6"/>
        <v>102120.6</v>
      </c>
      <c r="L38" s="34">
        <f t="shared" si="7"/>
        <v>77601.865449999998</v>
      </c>
      <c r="M38" s="115">
        <f t="shared" si="1"/>
        <v>0.75990412757073489</v>
      </c>
      <c r="N38" s="26"/>
      <c r="O38" s="38"/>
    </row>
    <row r="39" spans="1:15" ht="42" hidden="1" customHeight="1" x14ac:dyDescent="0.25">
      <c r="A39" s="725" t="s">
        <v>51</v>
      </c>
      <c r="B39" s="144">
        <v>14020000</v>
      </c>
      <c r="C39" s="83"/>
      <c r="D39" s="83"/>
      <c r="E39" s="83"/>
      <c r="F39" s="496" t="str">
        <f t="shared" si="0"/>
        <v/>
      </c>
      <c r="G39" s="63" t="str">
        <f t="shared" si="2"/>
        <v/>
      </c>
      <c r="H39" s="83"/>
      <c r="I39" s="83"/>
      <c r="J39" s="496" t="str">
        <f t="shared" si="3"/>
        <v/>
      </c>
      <c r="K39" s="132" t="e">
        <f>#N/A</f>
        <v>#N/A</v>
      </c>
      <c r="L39" s="132" t="e">
        <f>#N/A</f>
        <v>#N/A</v>
      </c>
      <c r="M39" s="496" t="str">
        <f t="shared" si="1"/>
        <v/>
      </c>
      <c r="N39" s="37" t="e">
        <f>SUM(C39:M39)</f>
        <v>#N/A</v>
      </c>
      <c r="O39" s="85"/>
    </row>
    <row r="40" spans="1:15" ht="13.5" hidden="1" customHeight="1" x14ac:dyDescent="0.25">
      <c r="A40" s="82" t="s">
        <v>52</v>
      </c>
      <c r="B40" s="59">
        <v>14060000</v>
      </c>
      <c r="C40" s="86">
        <f>C41+C42+C43+C44+C45+C46</f>
        <v>0</v>
      </c>
      <c r="D40" s="86"/>
      <c r="E40" s="86">
        <f>E41+E42+E43+E44+E45+E46</f>
        <v>0</v>
      </c>
      <c r="F40" s="87" t="str">
        <f t="shared" si="0"/>
        <v/>
      </c>
      <c r="G40" s="87" t="str">
        <f t="shared" si="2"/>
        <v/>
      </c>
      <c r="H40" s="86">
        <f>SUM(H41:H46)</f>
        <v>0</v>
      </c>
      <c r="I40" s="86">
        <f>SUM(I41:I45,I46)</f>
        <v>0</v>
      </c>
      <c r="J40" s="63" t="str">
        <f t="shared" si="3"/>
        <v/>
      </c>
      <c r="K40" s="84" t="e">
        <f>#N/A</f>
        <v>#N/A</v>
      </c>
      <c r="L40" s="84" t="e">
        <f>#N/A</f>
        <v>#N/A</v>
      </c>
      <c r="M40" s="63" t="str">
        <f t="shared" si="1"/>
        <v/>
      </c>
      <c r="N40" s="37"/>
      <c r="O40" s="88"/>
    </row>
    <row r="41" spans="1:15" ht="9.75" hidden="1" customHeight="1" x14ac:dyDescent="0.25">
      <c r="A41" s="82" t="s">
        <v>53</v>
      </c>
      <c r="B41" s="59">
        <v>14060100</v>
      </c>
      <c r="C41" s="86"/>
      <c r="D41" s="86"/>
      <c r="E41" s="86"/>
      <c r="F41" s="87" t="str">
        <f t="shared" si="0"/>
        <v/>
      </c>
      <c r="G41" s="87" t="str">
        <f t="shared" si="2"/>
        <v/>
      </c>
      <c r="H41" s="86"/>
      <c r="I41" s="86"/>
      <c r="J41" s="63" t="str">
        <f t="shared" si="3"/>
        <v/>
      </c>
      <c r="K41" s="84" t="e">
        <f>#N/A</f>
        <v>#N/A</v>
      </c>
      <c r="L41" s="84" t="e">
        <f>#N/A</f>
        <v>#N/A</v>
      </c>
      <c r="M41" s="63" t="str">
        <f t="shared" si="1"/>
        <v/>
      </c>
      <c r="N41" s="37"/>
      <c r="O41" s="88"/>
    </row>
    <row r="42" spans="1:15" ht="15" hidden="1" customHeight="1" x14ac:dyDescent="0.25">
      <c r="A42" s="82" t="s">
        <v>54</v>
      </c>
      <c r="B42" s="59">
        <v>14060200</v>
      </c>
      <c r="C42" s="86"/>
      <c r="D42" s="86"/>
      <c r="E42" s="86"/>
      <c r="F42" s="87" t="str">
        <f t="shared" si="0"/>
        <v/>
      </c>
      <c r="G42" s="87" t="str">
        <f t="shared" si="2"/>
        <v/>
      </c>
      <c r="H42" s="86"/>
      <c r="I42" s="86"/>
      <c r="J42" s="63" t="str">
        <f t="shared" si="3"/>
        <v/>
      </c>
      <c r="K42" s="84"/>
      <c r="L42" s="84"/>
      <c r="M42" s="63" t="str">
        <f t="shared" si="1"/>
        <v/>
      </c>
      <c r="N42" s="37">
        <f>SUM(C42:M42)</f>
        <v>0</v>
      </c>
      <c r="O42"/>
    </row>
    <row r="43" spans="1:15" ht="15.75" hidden="1" customHeight="1" x14ac:dyDescent="0.25">
      <c r="A43" s="82" t="s">
        <v>55</v>
      </c>
      <c r="B43" s="59">
        <v>14060300</v>
      </c>
      <c r="C43" s="86"/>
      <c r="D43" s="86"/>
      <c r="E43" s="86"/>
      <c r="F43" s="87" t="str">
        <f t="shared" si="0"/>
        <v/>
      </c>
      <c r="G43" s="87" t="str">
        <f t="shared" si="2"/>
        <v/>
      </c>
      <c r="H43" s="86"/>
      <c r="I43" s="86"/>
      <c r="J43" s="63" t="str">
        <f t="shared" si="3"/>
        <v/>
      </c>
      <c r="K43" s="84" t="e">
        <f>#N/A</f>
        <v>#N/A</v>
      </c>
      <c r="L43" s="84" t="e">
        <f>#N/A</f>
        <v>#N/A</v>
      </c>
      <c r="M43" s="63" t="str">
        <f t="shared" si="1"/>
        <v/>
      </c>
      <c r="N43" s="37"/>
    </row>
    <row r="44" spans="1:15" ht="15.75" hidden="1" customHeight="1" x14ac:dyDescent="0.25">
      <c r="A44" s="82" t="s">
        <v>56</v>
      </c>
      <c r="B44" s="59">
        <v>14060900</v>
      </c>
      <c r="C44" s="86"/>
      <c r="D44" s="86"/>
      <c r="E44" s="86"/>
      <c r="F44" s="87" t="str">
        <f t="shared" si="0"/>
        <v/>
      </c>
      <c r="G44" s="87" t="str">
        <f t="shared" si="2"/>
        <v/>
      </c>
      <c r="H44" s="86"/>
      <c r="I44" s="86"/>
      <c r="J44" s="63" t="str">
        <f t="shared" si="3"/>
        <v/>
      </c>
      <c r="K44" s="84" t="e">
        <f>#N/A</f>
        <v>#N/A</v>
      </c>
      <c r="L44" s="84" t="e">
        <f>#N/A</f>
        <v>#N/A</v>
      </c>
      <c r="M44" s="63" t="str">
        <f t="shared" si="1"/>
        <v/>
      </c>
      <c r="N44" s="37"/>
    </row>
    <row r="45" spans="1:15" ht="16.5" hidden="1" customHeight="1" x14ac:dyDescent="0.25">
      <c r="A45" s="82" t="s">
        <v>57</v>
      </c>
      <c r="B45" s="59">
        <v>14061000</v>
      </c>
      <c r="C45" s="86"/>
      <c r="D45" s="86"/>
      <c r="E45" s="86"/>
      <c r="F45" s="63" t="str">
        <f t="shared" si="0"/>
        <v/>
      </c>
      <c r="G45" s="63" t="str">
        <f t="shared" si="2"/>
        <v/>
      </c>
      <c r="H45" s="86"/>
      <c r="I45" s="86"/>
      <c r="J45" s="63" t="str">
        <f t="shared" si="3"/>
        <v/>
      </c>
      <c r="K45" s="84" t="e">
        <f>#N/A</f>
        <v>#N/A</v>
      </c>
      <c r="L45" s="84" t="e">
        <f>#N/A</f>
        <v>#N/A</v>
      </c>
      <c r="M45" s="63" t="str">
        <f t="shared" si="1"/>
        <v/>
      </c>
      <c r="N45" s="37" t="e">
        <f>SUM(C45:M45)</f>
        <v>#N/A</v>
      </c>
    </row>
    <row r="46" spans="1:15" ht="17.25" hidden="1" customHeight="1" x14ac:dyDescent="0.25">
      <c r="A46" s="82" t="s">
        <v>58</v>
      </c>
      <c r="B46" s="89">
        <v>14061100</v>
      </c>
      <c r="C46" s="86"/>
      <c r="D46" s="86"/>
      <c r="E46" s="86"/>
      <c r="F46" s="63" t="str">
        <f t="shared" si="0"/>
        <v/>
      </c>
      <c r="G46" s="63" t="str">
        <f t="shared" si="2"/>
        <v/>
      </c>
      <c r="H46" s="86"/>
      <c r="I46" s="86"/>
      <c r="J46" s="63" t="str">
        <f t="shared" si="3"/>
        <v/>
      </c>
      <c r="K46" s="84" t="e">
        <f>#N/A</f>
        <v>#N/A</v>
      </c>
      <c r="L46" s="84" t="e">
        <f>#N/A</f>
        <v>#N/A</v>
      </c>
      <c r="M46" s="63" t="str">
        <f t="shared" si="1"/>
        <v/>
      </c>
      <c r="N46" s="37" t="e">
        <f>SUM(C46:M46)</f>
        <v>#N/A</v>
      </c>
    </row>
    <row r="47" spans="1:15" ht="18.75" hidden="1" customHeight="1" x14ac:dyDescent="0.25">
      <c r="A47" s="82" t="s">
        <v>59</v>
      </c>
      <c r="B47" s="59">
        <v>14070000</v>
      </c>
      <c r="C47" s="86"/>
      <c r="D47" s="86"/>
      <c r="E47" s="86"/>
      <c r="F47" s="87" t="str">
        <f t="shared" si="0"/>
        <v/>
      </c>
      <c r="G47" s="87" t="str">
        <f t="shared" si="2"/>
        <v/>
      </c>
      <c r="H47" s="86">
        <f>H48</f>
        <v>0</v>
      </c>
      <c r="I47" s="86">
        <f>I48</f>
        <v>0</v>
      </c>
      <c r="J47" s="63" t="str">
        <f t="shared" si="3"/>
        <v/>
      </c>
      <c r="K47" s="84" t="e">
        <f>#N/A</f>
        <v>#N/A</v>
      </c>
      <c r="L47" s="84" t="e">
        <f>#N/A</f>
        <v>#N/A</v>
      </c>
      <c r="M47" s="63" t="str">
        <f t="shared" si="1"/>
        <v/>
      </c>
      <c r="N47" s="37"/>
    </row>
    <row r="48" spans="1:15" ht="18.75" hidden="1" customHeight="1" x14ac:dyDescent="0.25">
      <c r="A48" s="82" t="s">
        <v>60</v>
      </c>
      <c r="B48" s="59">
        <v>14071500</v>
      </c>
      <c r="C48" s="86"/>
      <c r="D48" s="86"/>
      <c r="E48" s="86"/>
      <c r="F48" s="87" t="str">
        <f t="shared" si="0"/>
        <v/>
      </c>
      <c r="G48" s="87" t="str">
        <f t="shared" si="2"/>
        <v/>
      </c>
      <c r="H48" s="86"/>
      <c r="I48" s="86"/>
      <c r="J48" s="63" t="str">
        <f t="shared" si="3"/>
        <v/>
      </c>
      <c r="K48" s="84" t="e">
        <f>#N/A</f>
        <v>#N/A</v>
      </c>
      <c r="L48" s="84" t="e">
        <f>#N/A</f>
        <v>#N/A</v>
      </c>
      <c r="M48" s="63" t="str">
        <f t="shared" si="1"/>
        <v/>
      </c>
      <c r="N48" s="37"/>
    </row>
    <row r="49" spans="1:14" s="95" customFormat="1" ht="14.25" hidden="1" customHeight="1" x14ac:dyDescent="0.25">
      <c r="A49" s="90" t="s">
        <v>61</v>
      </c>
      <c r="B49" s="91">
        <v>16000000</v>
      </c>
      <c r="C49" s="92">
        <f>SUM(C50,C51,C52,C55,C56,)</f>
        <v>0</v>
      </c>
      <c r="D49" s="92">
        <f>SUM(D50,D51,D52,D55,D56,)</f>
        <v>0</v>
      </c>
      <c r="E49" s="92">
        <f>SUM(E50,E51,E52,E55,E56,)</f>
        <v>0</v>
      </c>
      <c r="F49" s="93" t="str">
        <f t="shared" si="0"/>
        <v/>
      </c>
      <c r="G49" s="93" t="str">
        <f t="shared" si="2"/>
        <v/>
      </c>
      <c r="H49" s="94">
        <f>SUM(H50,H51,H52,H55,H56,)</f>
        <v>0</v>
      </c>
      <c r="I49" s="94">
        <f>SUM(I50,I51,I52,I55,I56)</f>
        <v>0</v>
      </c>
      <c r="J49" s="93" t="str">
        <f t="shared" si="3"/>
        <v/>
      </c>
      <c r="K49" s="94" t="e">
        <f>#N/A</f>
        <v>#N/A</v>
      </c>
      <c r="L49" s="94" t="e">
        <f>#N/A</f>
        <v>#N/A</v>
      </c>
      <c r="M49" s="93" t="str">
        <f t="shared" si="1"/>
        <v/>
      </c>
      <c r="N49" s="26" t="e">
        <f>#N/A</f>
        <v>#N/A</v>
      </c>
    </row>
    <row r="50" spans="1:14" ht="21" hidden="1" customHeight="1" x14ac:dyDescent="0.25">
      <c r="A50" s="82" t="s">
        <v>62</v>
      </c>
      <c r="B50" s="59">
        <v>16010000</v>
      </c>
      <c r="C50" s="96">
        <v>0</v>
      </c>
      <c r="D50" s="96">
        <v>0</v>
      </c>
      <c r="E50" s="96"/>
      <c r="F50" s="63" t="str">
        <f t="shared" si="0"/>
        <v/>
      </c>
      <c r="G50" s="63" t="str">
        <f t="shared" si="2"/>
        <v/>
      </c>
      <c r="H50" s="62"/>
      <c r="I50" s="96"/>
      <c r="J50" s="63" t="str">
        <f t="shared" si="3"/>
        <v/>
      </c>
      <c r="K50" s="97">
        <f t="shared" ref="K50" si="8">SUM(C50,H50)</f>
        <v>0</v>
      </c>
      <c r="L50" s="97">
        <f t="shared" ref="L50" si="9">SUM(I50,E50)</f>
        <v>0</v>
      </c>
      <c r="M50" s="63" t="str">
        <f t="shared" si="1"/>
        <v/>
      </c>
      <c r="N50" s="37" t="e">
        <f>#N/A</f>
        <v>#N/A</v>
      </c>
    </row>
    <row r="51" spans="1:14" ht="18.75" hidden="1" customHeight="1" x14ac:dyDescent="0.25">
      <c r="A51" s="82" t="s">
        <v>63</v>
      </c>
      <c r="B51" s="59">
        <v>16020000</v>
      </c>
      <c r="C51" s="83"/>
      <c r="D51" s="83"/>
      <c r="E51" s="83"/>
      <c r="F51" s="63" t="str">
        <f t="shared" si="0"/>
        <v/>
      </c>
      <c r="G51" s="63" t="str">
        <f t="shared" si="2"/>
        <v/>
      </c>
      <c r="H51" s="86"/>
      <c r="I51" s="86"/>
      <c r="J51" s="63" t="str">
        <f t="shared" si="3"/>
        <v/>
      </c>
      <c r="K51" s="84" t="e">
        <f>#N/A</f>
        <v>#N/A</v>
      </c>
      <c r="L51" s="84" t="e">
        <f>#N/A</f>
        <v>#N/A</v>
      </c>
      <c r="M51" s="63" t="str">
        <f t="shared" si="1"/>
        <v/>
      </c>
      <c r="N51" s="37" t="e">
        <f>#N/A</f>
        <v>#N/A</v>
      </c>
    </row>
    <row r="52" spans="1:14" ht="20.25" hidden="1" customHeight="1" x14ac:dyDescent="0.25">
      <c r="A52" s="98" t="s">
        <v>64</v>
      </c>
      <c r="B52" s="59">
        <v>16030000</v>
      </c>
      <c r="C52" s="86">
        <v>0</v>
      </c>
      <c r="D52" s="86"/>
      <c r="E52" s="86">
        <f>SUM(E53,E54)</f>
        <v>0</v>
      </c>
      <c r="F52" s="87" t="str">
        <f t="shared" si="0"/>
        <v/>
      </c>
      <c r="G52" s="87" t="str">
        <f t="shared" si="2"/>
        <v/>
      </c>
      <c r="H52" s="86">
        <f>SUM(H53,H54)</f>
        <v>0</v>
      </c>
      <c r="I52" s="86">
        <f>SUM(I53,I54)</f>
        <v>0</v>
      </c>
      <c r="J52" s="63" t="str">
        <f t="shared" si="3"/>
        <v/>
      </c>
      <c r="K52" s="84" t="e">
        <f>#N/A</f>
        <v>#N/A</v>
      </c>
      <c r="L52" s="84" t="e">
        <f>#N/A</f>
        <v>#N/A</v>
      </c>
      <c r="M52" s="63" t="str">
        <f t="shared" si="1"/>
        <v/>
      </c>
      <c r="N52" s="37" t="e">
        <f>#N/A</f>
        <v>#N/A</v>
      </c>
    </row>
    <row r="53" spans="1:14" ht="18.75" hidden="1" customHeight="1" x14ac:dyDescent="0.25">
      <c r="A53" s="98" t="s">
        <v>65</v>
      </c>
      <c r="B53" s="59">
        <v>16030100</v>
      </c>
      <c r="C53" s="86"/>
      <c r="D53" s="86"/>
      <c r="E53" s="86"/>
      <c r="F53" s="63" t="str">
        <f t="shared" si="0"/>
        <v/>
      </c>
      <c r="G53" s="63" t="str">
        <f t="shared" si="2"/>
        <v/>
      </c>
      <c r="H53" s="86"/>
      <c r="I53" s="86"/>
      <c r="J53" s="63" t="str">
        <f t="shared" si="3"/>
        <v/>
      </c>
      <c r="K53" s="84" t="e">
        <f>#N/A</f>
        <v>#N/A</v>
      </c>
      <c r="L53" s="84" t="e">
        <f>#N/A</f>
        <v>#N/A</v>
      </c>
      <c r="M53" s="63" t="str">
        <f t="shared" si="1"/>
        <v/>
      </c>
      <c r="N53" s="37" t="e">
        <f>#N/A</f>
        <v>#N/A</v>
      </c>
    </row>
    <row r="54" spans="1:14" ht="18.75" hidden="1" customHeight="1" x14ac:dyDescent="0.25">
      <c r="A54" s="98" t="s">
        <v>66</v>
      </c>
      <c r="B54" s="59">
        <v>16030200</v>
      </c>
      <c r="C54" s="86"/>
      <c r="D54" s="86"/>
      <c r="E54" s="86"/>
      <c r="F54" s="87" t="str">
        <f t="shared" si="0"/>
        <v/>
      </c>
      <c r="G54" s="87" t="str">
        <f t="shared" si="2"/>
        <v/>
      </c>
      <c r="H54" s="86"/>
      <c r="I54" s="86"/>
      <c r="J54" s="63" t="str">
        <f t="shared" si="3"/>
        <v/>
      </c>
      <c r="K54" s="84" t="e">
        <f>#N/A</f>
        <v>#N/A</v>
      </c>
      <c r="L54" s="84" t="e">
        <f>#N/A</f>
        <v>#N/A</v>
      </c>
      <c r="M54" s="63" t="str">
        <f t="shared" si="1"/>
        <v/>
      </c>
      <c r="N54" s="37" t="e">
        <f>#N/A</f>
        <v>#N/A</v>
      </c>
    </row>
    <row r="55" spans="1:14" ht="30" hidden="1" customHeight="1" x14ac:dyDescent="0.25">
      <c r="A55" s="99" t="s">
        <v>67</v>
      </c>
      <c r="B55" s="59">
        <v>16040000</v>
      </c>
      <c r="C55" s="86"/>
      <c r="D55" s="86"/>
      <c r="E55" s="86"/>
      <c r="F55" s="87" t="str">
        <f t="shared" si="0"/>
        <v/>
      </c>
      <c r="G55" s="87" t="str">
        <f t="shared" si="2"/>
        <v/>
      </c>
      <c r="H55" s="86"/>
      <c r="I55" s="86"/>
      <c r="J55" s="63" t="str">
        <f t="shared" si="3"/>
        <v/>
      </c>
      <c r="K55" s="84" t="e">
        <f>#N/A</f>
        <v>#N/A</v>
      </c>
      <c r="L55" s="84" t="e">
        <f>#N/A</f>
        <v>#N/A</v>
      </c>
      <c r="M55" s="63" t="str">
        <f t="shared" si="1"/>
        <v/>
      </c>
      <c r="N55" s="37"/>
    </row>
    <row r="56" spans="1:14" ht="29.25" hidden="1" customHeight="1" x14ac:dyDescent="0.25">
      <c r="A56" s="98" t="s">
        <v>68</v>
      </c>
      <c r="B56" s="59">
        <v>16050000</v>
      </c>
      <c r="C56" s="86">
        <f>C57+C58</f>
        <v>0</v>
      </c>
      <c r="D56" s="86"/>
      <c r="E56" s="86">
        <f>E57+E58</f>
        <v>0</v>
      </c>
      <c r="F56" s="87" t="str">
        <f t="shared" si="0"/>
        <v/>
      </c>
      <c r="G56" s="87" t="str">
        <f t="shared" si="2"/>
        <v/>
      </c>
      <c r="H56" s="86">
        <f>H57+H58</f>
        <v>0</v>
      </c>
      <c r="I56" s="86">
        <f>I57+I58</f>
        <v>0</v>
      </c>
      <c r="J56" s="63" t="str">
        <f t="shared" si="3"/>
        <v/>
      </c>
      <c r="K56" s="84" t="e">
        <f>#N/A</f>
        <v>#N/A</v>
      </c>
      <c r="L56" s="84" t="e">
        <f>#N/A</f>
        <v>#N/A</v>
      </c>
      <c r="M56" s="63" t="str">
        <f t="shared" si="1"/>
        <v/>
      </c>
      <c r="N56" s="37"/>
    </row>
    <row r="57" spans="1:14" ht="26.25" hidden="1" customHeight="1" x14ac:dyDescent="0.25">
      <c r="A57" s="98" t="s">
        <v>69</v>
      </c>
      <c r="B57" s="59">
        <v>16050100</v>
      </c>
      <c r="C57" s="86"/>
      <c r="D57" s="86"/>
      <c r="E57" s="86"/>
      <c r="F57" s="87" t="str">
        <f t="shared" si="0"/>
        <v/>
      </c>
      <c r="G57" s="87" t="str">
        <f t="shared" si="2"/>
        <v/>
      </c>
      <c r="H57" s="86"/>
      <c r="I57" s="86"/>
      <c r="J57" s="63" t="str">
        <f t="shared" si="3"/>
        <v/>
      </c>
      <c r="K57" s="84" t="e">
        <f>#N/A</f>
        <v>#N/A</v>
      </c>
      <c r="L57" s="84" t="e">
        <f>#N/A</f>
        <v>#N/A</v>
      </c>
      <c r="M57" s="63" t="str">
        <f t="shared" si="1"/>
        <v/>
      </c>
      <c r="N57" s="37"/>
    </row>
    <row r="58" spans="1:14" ht="30.75" hidden="1" customHeight="1" x14ac:dyDescent="0.25">
      <c r="A58" s="98" t="s">
        <v>70</v>
      </c>
      <c r="B58" s="59">
        <v>16050200</v>
      </c>
      <c r="C58" s="86"/>
      <c r="D58" s="86"/>
      <c r="E58" s="86"/>
      <c r="F58" s="87" t="str">
        <f t="shared" si="0"/>
        <v/>
      </c>
      <c r="G58" s="87" t="str">
        <f t="shared" si="2"/>
        <v/>
      </c>
      <c r="H58" s="86"/>
      <c r="I58" s="86"/>
      <c r="J58" s="63" t="str">
        <f t="shared" si="3"/>
        <v/>
      </c>
      <c r="K58" s="84" t="e">
        <f>#N/A</f>
        <v>#N/A</v>
      </c>
      <c r="L58" s="84" t="e">
        <f>#N/A</f>
        <v>#N/A</v>
      </c>
      <c r="M58" s="63" t="str">
        <f t="shared" si="1"/>
        <v/>
      </c>
      <c r="N58" s="37"/>
    </row>
    <row r="59" spans="1:14" ht="31.5" hidden="1" customHeight="1" x14ac:dyDescent="0.25">
      <c r="A59" s="622" t="s">
        <v>71</v>
      </c>
      <c r="B59" s="623">
        <v>16050300</v>
      </c>
      <c r="C59" s="101"/>
      <c r="D59" s="101"/>
      <c r="E59" s="101"/>
      <c r="F59" s="499" t="str">
        <f t="shared" si="0"/>
        <v/>
      </c>
      <c r="G59" s="63" t="str">
        <f t="shared" si="2"/>
        <v/>
      </c>
      <c r="H59" s="101"/>
      <c r="I59" s="101"/>
      <c r="J59" s="499" t="str">
        <f t="shared" si="3"/>
        <v/>
      </c>
      <c r="K59" s="216" t="e">
        <f>#N/A</f>
        <v>#N/A</v>
      </c>
      <c r="L59" s="216" t="e">
        <f>#N/A</f>
        <v>#N/A</v>
      </c>
      <c r="M59" s="499" t="str">
        <f t="shared" si="1"/>
        <v/>
      </c>
      <c r="N59" s="37" t="e">
        <f>#N/A</f>
        <v>#N/A</v>
      </c>
    </row>
    <row r="60" spans="1:14" ht="23.25" customHeight="1" x14ac:dyDescent="0.25">
      <c r="A60" s="28" t="s">
        <v>72</v>
      </c>
      <c r="B60" s="74">
        <v>18000000</v>
      </c>
      <c r="C60" s="30">
        <f>C61+C66+C69+C70</f>
        <v>1064376</v>
      </c>
      <c r="D60" s="578">
        <f>D61+D66+D69+D70</f>
        <v>807118</v>
      </c>
      <c r="E60" s="30">
        <f>E65+E66+E69+E70+E61</f>
        <v>925577.57166999998</v>
      </c>
      <c r="F60" s="31">
        <f t="shared" si="0"/>
        <v>0.86959643177786794</v>
      </c>
      <c r="G60" s="581">
        <f t="shared" si="2"/>
        <v>1.1467685910486447</v>
      </c>
      <c r="H60" s="30">
        <f>H65+H66+H69+H70+H61</f>
        <v>0</v>
      </c>
      <c r="I60" s="30">
        <f>I65+I66+I69+I70+I61</f>
        <v>0</v>
      </c>
      <c r="J60" s="31" t="str">
        <f t="shared" si="3"/>
        <v/>
      </c>
      <c r="K60" s="30">
        <f>SUM(C60,H60)</f>
        <v>1064376</v>
      </c>
      <c r="L60" s="30">
        <f>SUM(I60,E60)</f>
        <v>925577.57166999998</v>
      </c>
      <c r="M60" s="31">
        <f t="shared" si="1"/>
        <v>0.86959643177786794</v>
      </c>
      <c r="N60" s="26" t="e">
        <f>#N/A</f>
        <v>#N/A</v>
      </c>
    </row>
    <row r="61" spans="1:14" ht="13.8" x14ac:dyDescent="0.25">
      <c r="A61" s="77" t="s">
        <v>73</v>
      </c>
      <c r="B61" s="79">
        <v>18010000</v>
      </c>
      <c r="C61" s="34">
        <v>363874</v>
      </c>
      <c r="D61" s="80">
        <v>272108</v>
      </c>
      <c r="E61" s="34">
        <v>296804.63037000003</v>
      </c>
      <c r="F61" s="115">
        <f t="shared" si="0"/>
        <v>0.81567968684214875</v>
      </c>
      <c r="G61" s="581">
        <f t="shared" si="2"/>
        <v>1.0907603979669838</v>
      </c>
      <c r="H61" s="117"/>
      <c r="I61" s="117"/>
      <c r="J61" s="115" t="str">
        <f t="shared" si="3"/>
        <v/>
      </c>
      <c r="K61" s="34">
        <f>SUM(C61,H61)</f>
        <v>363874</v>
      </c>
      <c r="L61" s="34">
        <f>SUM(I61,E61)</f>
        <v>296804.63037000003</v>
      </c>
      <c r="M61" s="115">
        <f t="shared" si="1"/>
        <v>0.81567968684214875</v>
      </c>
      <c r="N61" s="26" t="e">
        <f>#N/A</f>
        <v>#N/A</v>
      </c>
    </row>
    <row r="62" spans="1:14" ht="18.75" customHeight="1" x14ac:dyDescent="0.25">
      <c r="A62" s="77" t="s">
        <v>74</v>
      </c>
      <c r="B62" s="102" t="s">
        <v>75</v>
      </c>
      <c r="C62" s="34">
        <v>96500</v>
      </c>
      <c r="D62" s="80">
        <v>71188</v>
      </c>
      <c r="E62" s="34">
        <v>90599.516959999994</v>
      </c>
      <c r="F62" s="115">
        <f t="shared" si="0"/>
        <v>0.93885509803108802</v>
      </c>
      <c r="G62" s="581">
        <f t="shared" si="2"/>
        <v>1.272679622408271</v>
      </c>
      <c r="H62" s="117"/>
      <c r="I62" s="117"/>
      <c r="J62" s="115" t="str">
        <f t="shared" si="3"/>
        <v/>
      </c>
      <c r="K62" s="34">
        <f>SUM(C62,H62)</f>
        <v>96500</v>
      </c>
      <c r="L62" s="34">
        <f>SUM(I62,E62)</f>
        <v>90599.516959999994</v>
      </c>
      <c r="M62" s="115">
        <f t="shared" si="1"/>
        <v>0.93885509803108802</v>
      </c>
      <c r="N62" s="26"/>
    </row>
    <row r="63" spans="1:14" ht="22.5" customHeight="1" x14ac:dyDescent="0.25">
      <c r="A63" s="77" t="s">
        <v>76</v>
      </c>
      <c r="B63" s="102" t="s">
        <v>77</v>
      </c>
      <c r="C63" s="34">
        <v>265974</v>
      </c>
      <c r="D63" s="80">
        <v>199880</v>
      </c>
      <c r="E63" s="34">
        <v>204455.22016</v>
      </c>
      <c r="F63" s="115">
        <f t="shared" si="0"/>
        <v>0.76870378367810388</v>
      </c>
      <c r="G63" s="581">
        <f t="shared" si="2"/>
        <v>1.0228898347008204</v>
      </c>
      <c r="H63" s="117"/>
      <c r="I63" s="117"/>
      <c r="J63" s="115" t="str">
        <f t="shared" si="3"/>
        <v/>
      </c>
      <c r="K63" s="34">
        <f>SUM(C63,H63)</f>
        <v>265974</v>
      </c>
      <c r="L63" s="34">
        <f>SUM(I63,E63)</f>
        <v>204455.22016</v>
      </c>
      <c r="M63" s="115">
        <f t="shared" si="1"/>
        <v>0.76870378367810388</v>
      </c>
      <c r="N63" s="26"/>
    </row>
    <row r="64" spans="1:14" ht="20.25" customHeight="1" x14ac:dyDescent="0.25">
      <c r="A64" s="77" t="s">
        <v>78</v>
      </c>
      <c r="B64" s="102" t="s">
        <v>79</v>
      </c>
      <c r="C64" s="35">
        <v>1400</v>
      </c>
      <c r="D64" s="80">
        <v>1040</v>
      </c>
      <c r="E64" s="35">
        <v>1749.8932499999999</v>
      </c>
      <c r="F64" s="115">
        <f t="shared" si="0"/>
        <v>1.24992375</v>
      </c>
      <c r="G64" s="581">
        <f t="shared" si="2"/>
        <v>1.6825896634615383</v>
      </c>
      <c r="H64" s="117"/>
      <c r="I64" s="117"/>
      <c r="J64" s="115" t="str">
        <f t="shared" si="3"/>
        <v/>
      </c>
      <c r="K64" s="34">
        <f>SUM(C64,H64)</f>
        <v>1400</v>
      </c>
      <c r="L64" s="34">
        <f>SUM(I64,E64)</f>
        <v>1749.8932499999999</v>
      </c>
      <c r="M64" s="115">
        <f t="shared" si="1"/>
        <v>1.24992375</v>
      </c>
      <c r="N64" s="26"/>
    </row>
    <row r="65" spans="1:14" ht="40.5" hidden="1" customHeight="1" x14ac:dyDescent="0.25">
      <c r="A65" s="726" t="s">
        <v>80</v>
      </c>
      <c r="B65" s="720">
        <v>18020000</v>
      </c>
      <c r="C65" s="8">
        <v>0</v>
      </c>
      <c r="D65" s="8">
        <v>0</v>
      </c>
      <c r="E65" s="8">
        <v>0</v>
      </c>
      <c r="F65" s="727" t="str">
        <f t="shared" si="0"/>
        <v/>
      </c>
      <c r="G65" s="104" t="str">
        <f t="shared" si="2"/>
        <v/>
      </c>
      <c r="H65" s="105"/>
      <c r="I65" s="105"/>
      <c r="J65" s="728" t="str">
        <f t="shared" si="3"/>
        <v/>
      </c>
      <c r="K65" s="729" t="e">
        <f>#N/A</f>
        <v>#N/A</v>
      </c>
      <c r="L65" s="729" t="e">
        <f>#N/A</f>
        <v>#N/A</v>
      </c>
      <c r="M65" s="728" t="str">
        <f t="shared" si="1"/>
        <v/>
      </c>
      <c r="N65" s="26" t="e">
        <f>#N/A</f>
        <v>#N/A</v>
      </c>
    </row>
    <row r="66" spans="1:14" ht="13.8" x14ac:dyDescent="0.25">
      <c r="A66" s="106" t="s">
        <v>81</v>
      </c>
      <c r="B66" s="29">
        <v>18030000</v>
      </c>
      <c r="C66" s="30">
        <f>C67+C68</f>
        <v>3000</v>
      </c>
      <c r="D66" s="585">
        <f>D67+D68</f>
        <v>1959</v>
      </c>
      <c r="E66" s="30">
        <f>E68+E67</f>
        <v>1117.01659</v>
      </c>
      <c r="F66" s="31">
        <f t="shared" si="0"/>
        <v>0.37233886333333333</v>
      </c>
      <c r="G66" s="581">
        <f t="shared" si="2"/>
        <v>0.57019734047983661</v>
      </c>
      <c r="H66" s="128"/>
      <c r="I66" s="128"/>
      <c r="J66" s="31" t="str">
        <f t="shared" si="3"/>
        <v/>
      </c>
      <c r="K66" s="30">
        <f t="shared" ref="K66:K73" si="10">SUM(C66,H66)</f>
        <v>3000</v>
      </c>
      <c r="L66" s="30">
        <f>SUM(I66,E66)</f>
        <v>1117.01659</v>
      </c>
      <c r="M66" s="31">
        <f t="shared" si="1"/>
        <v>0.37233886333333333</v>
      </c>
      <c r="N66" s="26" t="e">
        <f>#N/A</f>
        <v>#N/A</v>
      </c>
    </row>
    <row r="67" spans="1:14" ht="13.8" x14ac:dyDescent="0.25">
      <c r="A67" s="107" t="s">
        <v>82</v>
      </c>
      <c r="B67" s="20" t="s">
        <v>83</v>
      </c>
      <c r="C67" s="34">
        <v>2800</v>
      </c>
      <c r="D67" s="80">
        <v>1820</v>
      </c>
      <c r="E67" s="34">
        <v>759.37909000000002</v>
      </c>
      <c r="F67" s="115">
        <f t="shared" si="0"/>
        <v>0.27120681785714285</v>
      </c>
      <c r="G67" s="581">
        <f t="shared" si="2"/>
        <v>0.41724125824175823</v>
      </c>
      <c r="H67" s="117"/>
      <c r="I67" s="117"/>
      <c r="J67" s="115"/>
      <c r="K67" s="34">
        <f t="shared" si="10"/>
        <v>2800</v>
      </c>
      <c r="L67" s="34">
        <f>SUM(I67,E67)</f>
        <v>759.37909000000002</v>
      </c>
      <c r="M67" s="115">
        <f t="shared" si="1"/>
        <v>0.27120681785714285</v>
      </c>
      <c r="N67" s="26"/>
    </row>
    <row r="68" spans="1:14" ht="13.8" x14ac:dyDescent="0.25">
      <c r="A68" s="107" t="s">
        <v>84</v>
      </c>
      <c r="B68" s="20" t="s">
        <v>85</v>
      </c>
      <c r="C68" s="34">
        <v>200</v>
      </c>
      <c r="D68" s="80">
        <v>139</v>
      </c>
      <c r="E68" s="34">
        <v>357.63749999999999</v>
      </c>
      <c r="F68" s="115">
        <f t="shared" si="0"/>
        <v>1.7881875</v>
      </c>
      <c r="G68" s="581">
        <f t="shared" si="2"/>
        <v>2.5729316546762591</v>
      </c>
      <c r="H68" s="117"/>
      <c r="I68" s="117"/>
      <c r="J68" s="115"/>
      <c r="K68" s="34">
        <f t="shared" si="10"/>
        <v>200</v>
      </c>
      <c r="L68" s="34">
        <f>SUM(I68,E68)</f>
        <v>357.63749999999999</v>
      </c>
      <c r="M68" s="115">
        <f t="shared" si="1"/>
        <v>1.7881875</v>
      </c>
      <c r="N68" s="26"/>
    </row>
    <row r="69" spans="1:14" ht="30.75" hidden="1" customHeight="1" x14ac:dyDescent="0.25">
      <c r="A69" s="108" t="s">
        <v>86</v>
      </c>
      <c r="B69" s="626">
        <v>18040000</v>
      </c>
      <c r="C69" s="109"/>
      <c r="D69" s="8">
        <v>0</v>
      </c>
      <c r="E69" s="110">
        <v>0</v>
      </c>
      <c r="F69" s="651" t="str">
        <f t="shared" si="0"/>
        <v/>
      </c>
      <c r="G69" s="104" t="str">
        <f t="shared" si="2"/>
        <v/>
      </c>
      <c r="H69" s="112"/>
      <c r="I69" s="112">
        <v>0</v>
      </c>
      <c r="J69" s="727" t="str">
        <f t="shared" si="3"/>
        <v/>
      </c>
      <c r="K69" s="730">
        <f t="shared" si="10"/>
        <v>0</v>
      </c>
      <c r="L69" s="730">
        <f>SUM(I69,E69)</f>
        <v>0</v>
      </c>
      <c r="M69" s="727" t="str">
        <f t="shared" si="1"/>
        <v/>
      </c>
      <c r="N69" s="26" t="e">
        <f>#N/A</f>
        <v>#N/A</v>
      </c>
    </row>
    <row r="70" spans="1:14" ht="13.8" x14ac:dyDescent="0.25">
      <c r="A70" s="114" t="s">
        <v>87</v>
      </c>
      <c r="B70" s="29">
        <v>18050000</v>
      </c>
      <c r="C70" s="30">
        <f>C71+C72+C73</f>
        <v>697502</v>
      </c>
      <c r="D70" s="585">
        <f t="shared" ref="D70:E70" si="11">D71+D72+D73</f>
        <v>533051</v>
      </c>
      <c r="E70" s="30">
        <f t="shared" si="11"/>
        <v>627655.92470999993</v>
      </c>
      <c r="F70" s="31">
        <f t="shared" si="0"/>
        <v>0.89986254478123351</v>
      </c>
      <c r="G70" s="580">
        <f t="shared" si="2"/>
        <v>1.1774781863461468</v>
      </c>
      <c r="H70" s="128"/>
      <c r="I70" s="128"/>
      <c r="J70" s="31" t="str">
        <f t="shared" si="3"/>
        <v/>
      </c>
      <c r="K70" s="30">
        <f t="shared" si="10"/>
        <v>697502</v>
      </c>
      <c r="L70" s="30">
        <f>SUM(I70,E70)</f>
        <v>627655.92470999993</v>
      </c>
      <c r="M70" s="31">
        <f t="shared" si="1"/>
        <v>0.89986254478123351</v>
      </c>
      <c r="N70" s="26" t="e">
        <f>#N/A</f>
        <v>#N/A</v>
      </c>
    </row>
    <row r="71" spans="1:14" ht="13.8" x14ac:dyDescent="0.25">
      <c r="A71" s="77" t="s">
        <v>88</v>
      </c>
      <c r="B71" s="20" t="s">
        <v>89</v>
      </c>
      <c r="C71" s="34">
        <v>175834</v>
      </c>
      <c r="D71" s="80">
        <v>133000</v>
      </c>
      <c r="E71" s="34">
        <v>91825.573690000005</v>
      </c>
      <c r="F71" s="115">
        <f t="shared" si="0"/>
        <v>0.52222877082930497</v>
      </c>
      <c r="G71" s="581">
        <f t="shared" si="2"/>
        <v>0.69041784729323308</v>
      </c>
      <c r="H71" s="117"/>
      <c r="I71" s="117"/>
      <c r="J71" s="115"/>
      <c r="K71" s="34">
        <f t="shared" si="10"/>
        <v>175834</v>
      </c>
      <c r="L71" s="34">
        <f t="shared" ref="L71:L73" si="12">SUM(I71,E71)</f>
        <v>91825.573690000005</v>
      </c>
      <c r="M71" s="115">
        <f t="shared" si="1"/>
        <v>0.52222877082930497</v>
      </c>
      <c r="N71" s="26"/>
    </row>
    <row r="72" spans="1:14" ht="13.8" x14ac:dyDescent="0.25">
      <c r="A72" s="77" t="s">
        <v>90</v>
      </c>
      <c r="B72" s="20" t="s">
        <v>91</v>
      </c>
      <c r="C72" s="34">
        <v>521566</v>
      </c>
      <c r="D72" s="80">
        <v>400000</v>
      </c>
      <c r="E72" s="34">
        <v>535729.16007999994</v>
      </c>
      <c r="F72" s="115">
        <f t="shared" si="0"/>
        <v>1.0271550677766572</v>
      </c>
      <c r="G72" s="581">
        <f t="shared" si="2"/>
        <v>1.3393229001999998</v>
      </c>
      <c r="H72" s="117"/>
      <c r="I72" s="117"/>
      <c r="J72" s="115"/>
      <c r="K72" s="34">
        <f t="shared" si="10"/>
        <v>521566</v>
      </c>
      <c r="L72" s="34">
        <f t="shared" si="12"/>
        <v>535729.16007999994</v>
      </c>
      <c r="M72" s="115">
        <f t="shared" si="1"/>
        <v>1.0271550677766572</v>
      </c>
      <c r="N72" s="26"/>
    </row>
    <row r="73" spans="1:14" ht="49.2" customHeight="1" x14ac:dyDescent="0.25">
      <c r="A73" s="77" t="s">
        <v>92</v>
      </c>
      <c r="B73" s="20" t="s">
        <v>93</v>
      </c>
      <c r="C73" s="34">
        <v>102</v>
      </c>
      <c r="D73" s="80">
        <v>51</v>
      </c>
      <c r="E73" s="34">
        <v>101.19094</v>
      </c>
      <c r="F73" s="115">
        <f t="shared" si="0"/>
        <v>0.9920680392156862</v>
      </c>
      <c r="G73" s="581">
        <f t="shared" si="2"/>
        <v>1.9841360784313724</v>
      </c>
      <c r="H73" s="117"/>
      <c r="I73" s="117"/>
      <c r="J73" s="115"/>
      <c r="K73" s="34">
        <f t="shared" si="10"/>
        <v>102</v>
      </c>
      <c r="L73" s="34">
        <f t="shared" si="12"/>
        <v>101.19094</v>
      </c>
      <c r="M73" s="115">
        <f t="shared" si="1"/>
        <v>0.9920680392156862</v>
      </c>
      <c r="N73" s="26"/>
    </row>
    <row r="74" spans="1:14" ht="25.5" customHeight="1" x14ac:dyDescent="0.25">
      <c r="A74" s="116" t="s">
        <v>94</v>
      </c>
      <c r="B74" s="74">
        <v>19000000</v>
      </c>
      <c r="C74" s="30">
        <f>C75+C79+C80</f>
        <v>0</v>
      </c>
      <c r="D74" s="578"/>
      <c r="E74" s="30">
        <f>E75+E79+E80</f>
        <v>0</v>
      </c>
      <c r="F74" s="115" t="str">
        <f t="shared" si="0"/>
        <v/>
      </c>
      <c r="G74" s="580" t="str">
        <f t="shared" si="2"/>
        <v/>
      </c>
      <c r="H74" s="30">
        <f>H75+H79+H80</f>
        <v>19000</v>
      </c>
      <c r="I74" s="30">
        <f>I75+I79+I80</f>
        <v>15474.867129999999</v>
      </c>
      <c r="J74" s="25">
        <f t="shared" si="3"/>
        <v>0.81446669105263148</v>
      </c>
      <c r="K74" s="30">
        <f>SUM(C74,H74)</f>
        <v>19000</v>
      </c>
      <c r="L74" s="30">
        <f>SUM(I74,E74)</f>
        <v>15474.867129999999</v>
      </c>
      <c r="M74" s="31">
        <f t="shared" si="1"/>
        <v>0.81446669105263148</v>
      </c>
      <c r="N74" s="26" t="e">
        <f>#N/A</f>
        <v>#N/A</v>
      </c>
    </row>
    <row r="75" spans="1:14" ht="19.5" customHeight="1" x14ac:dyDescent="0.25">
      <c r="A75" s="333" t="s">
        <v>95</v>
      </c>
      <c r="B75" s="142">
        <v>19010000</v>
      </c>
      <c r="C75" s="117">
        <v>0</v>
      </c>
      <c r="D75" s="586"/>
      <c r="E75" s="117">
        <v>0</v>
      </c>
      <c r="F75" s="115" t="str">
        <f t="shared" si="0"/>
        <v/>
      </c>
      <c r="G75" s="580" t="str">
        <f t="shared" si="2"/>
        <v/>
      </c>
      <c r="H75" s="34">
        <f>H76+H77+H78</f>
        <v>19000</v>
      </c>
      <c r="I75" s="34">
        <f>I76+I77+I78</f>
        <v>15474.867129999999</v>
      </c>
      <c r="J75" s="118">
        <f t="shared" si="3"/>
        <v>0.81446669105263148</v>
      </c>
      <c r="K75" s="34">
        <f>SUM(C75,H75)</f>
        <v>19000</v>
      </c>
      <c r="L75" s="34">
        <f>SUM(I75,E75)</f>
        <v>15474.867129999999</v>
      </c>
      <c r="M75" s="115">
        <f t="shared" si="1"/>
        <v>0.81446669105263148</v>
      </c>
      <c r="N75" s="26" t="e">
        <f>#N/A</f>
        <v>#N/A</v>
      </c>
    </row>
    <row r="76" spans="1:14" ht="49.8" customHeight="1" x14ac:dyDescent="0.25">
      <c r="A76" s="77" t="s">
        <v>96</v>
      </c>
      <c r="B76" s="20" t="s">
        <v>97</v>
      </c>
      <c r="C76" s="117"/>
      <c r="D76" s="586"/>
      <c r="E76" s="117"/>
      <c r="F76" s="115" t="str">
        <f t="shared" si="0"/>
        <v/>
      </c>
      <c r="G76" s="580"/>
      <c r="H76" s="34">
        <v>18960</v>
      </c>
      <c r="I76" s="34">
        <v>15407.434019999999</v>
      </c>
      <c r="J76" s="118">
        <f t="shared" si="3"/>
        <v>0.81262837658227838</v>
      </c>
      <c r="K76" s="34">
        <f t="shared" ref="K76:K79" si="13">SUM(C76,H76)</f>
        <v>18960</v>
      </c>
      <c r="L76" s="34">
        <f t="shared" ref="L76:L79" si="14">SUM(I76,E76)</f>
        <v>15407.434019999999</v>
      </c>
      <c r="M76" s="115">
        <f t="shared" si="1"/>
        <v>0.81262837658227838</v>
      </c>
      <c r="N76" s="26"/>
    </row>
    <row r="77" spans="1:14" ht="30.6" customHeight="1" x14ac:dyDescent="0.25">
      <c r="A77" s="77" t="s">
        <v>98</v>
      </c>
      <c r="B77" s="20" t="s">
        <v>99</v>
      </c>
      <c r="C77" s="117"/>
      <c r="D77" s="586"/>
      <c r="E77" s="117"/>
      <c r="F77" s="115" t="str">
        <f t="shared" si="0"/>
        <v/>
      </c>
      <c r="G77" s="580"/>
      <c r="H77" s="34">
        <v>22</v>
      </c>
      <c r="I77" s="34">
        <v>44.472969999999997</v>
      </c>
      <c r="J77" s="118">
        <f t="shared" si="3"/>
        <v>2.0214986363636362</v>
      </c>
      <c r="K77" s="34">
        <f t="shared" si="13"/>
        <v>22</v>
      </c>
      <c r="L77" s="34">
        <f t="shared" si="14"/>
        <v>44.472969999999997</v>
      </c>
      <c r="M77" s="115">
        <f t="shared" si="1"/>
        <v>2.0214986363636362</v>
      </c>
      <c r="N77" s="26"/>
    </row>
    <row r="78" spans="1:14" ht="49.8" customHeight="1" x14ac:dyDescent="0.25">
      <c r="A78" s="77" t="s">
        <v>100</v>
      </c>
      <c r="B78" s="20" t="s">
        <v>101</v>
      </c>
      <c r="C78" s="117"/>
      <c r="D78" s="586"/>
      <c r="E78" s="117"/>
      <c r="F78" s="115" t="str">
        <f t="shared" si="0"/>
        <v/>
      </c>
      <c r="G78" s="580"/>
      <c r="H78" s="34">
        <v>18</v>
      </c>
      <c r="I78" s="34">
        <v>22.960139999999999</v>
      </c>
      <c r="J78" s="118">
        <f t="shared" si="3"/>
        <v>1.2755633333333334</v>
      </c>
      <c r="K78" s="34">
        <f t="shared" si="13"/>
        <v>18</v>
      </c>
      <c r="L78" s="34">
        <f t="shared" si="14"/>
        <v>22.960139999999999</v>
      </c>
      <c r="M78" s="115">
        <f t="shared" si="1"/>
        <v>1.2755633333333334</v>
      </c>
      <c r="N78" s="26"/>
    </row>
    <row r="79" spans="1:14" ht="24" hidden="1" customHeight="1" x14ac:dyDescent="0.25">
      <c r="A79" s="731" t="s">
        <v>67</v>
      </c>
      <c r="B79" s="732">
        <v>19040000</v>
      </c>
      <c r="C79" s="119"/>
      <c r="D79" s="70"/>
      <c r="E79" s="119"/>
      <c r="F79" s="733" t="str">
        <f t="shared" si="0"/>
        <v/>
      </c>
      <c r="G79" s="19" t="str">
        <f t="shared" si="2"/>
        <v/>
      </c>
      <c r="H79" s="119"/>
      <c r="I79" s="119"/>
      <c r="J79" s="734" t="str">
        <f t="shared" si="3"/>
        <v/>
      </c>
      <c r="K79" s="133">
        <f t="shared" si="13"/>
        <v>0</v>
      </c>
      <c r="L79" s="133">
        <f t="shared" si="14"/>
        <v>0</v>
      </c>
      <c r="M79" s="733" t="str">
        <f t="shared" si="1"/>
        <v/>
      </c>
      <c r="N79" s="26" t="e">
        <f>#N/A</f>
        <v>#N/A</v>
      </c>
    </row>
    <row r="80" spans="1:14" ht="18.75" hidden="1" customHeight="1" x14ac:dyDescent="0.25">
      <c r="A80" s="629" t="s">
        <v>102</v>
      </c>
      <c r="B80" s="619">
        <v>19050000</v>
      </c>
      <c r="C80" s="123"/>
      <c r="D80" s="121"/>
      <c r="E80" s="123"/>
      <c r="F80" s="630" t="str">
        <f t="shared" si="0"/>
        <v/>
      </c>
      <c r="G80" s="122" t="str">
        <f t="shared" si="2"/>
        <v/>
      </c>
      <c r="H80" s="123">
        <v>0</v>
      </c>
      <c r="I80" s="123"/>
      <c r="J80" s="631" t="str">
        <f t="shared" si="3"/>
        <v/>
      </c>
      <c r="K80" s="632">
        <f>SUM(C80,H80)</f>
        <v>0</v>
      </c>
      <c r="L80" s="632">
        <f>SUM(I80,E80)</f>
        <v>0</v>
      </c>
      <c r="M80" s="519" t="str">
        <f t="shared" si="1"/>
        <v/>
      </c>
      <c r="N80" s="26" t="e">
        <f>#N/A</f>
        <v>#N/A</v>
      </c>
    </row>
    <row r="81" spans="1:15" s="27" customFormat="1" ht="22.5" customHeight="1" x14ac:dyDescent="0.25">
      <c r="A81" s="21" t="s">
        <v>103</v>
      </c>
      <c r="B81" s="126">
        <v>20000000</v>
      </c>
      <c r="C81" s="23">
        <f>C82+C99+C117+C128</f>
        <v>73201.8</v>
      </c>
      <c r="D81" s="577">
        <f>D82+D99+D117+D128</f>
        <v>55836.75</v>
      </c>
      <c r="E81" s="23">
        <f>E82+E99+E117+E128</f>
        <v>71343.145210000002</v>
      </c>
      <c r="F81" s="31">
        <f t="shared" si="0"/>
        <v>0.97460916548500176</v>
      </c>
      <c r="G81" s="579">
        <f t="shared" si="2"/>
        <v>1.2777094872104842</v>
      </c>
      <c r="H81" s="23">
        <f>H82+H99+H117+H128</f>
        <v>146055.71575999999</v>
      </c>
      <c r="I81" s="23">
        <f>I82+I99+I117+I128</f>
        <v>93658.277499999997</v>
      </c>
      <c r="J81" s="25">
        <f t="shared" si="3"/>
        <v>0.64125034075284038</v>
      </c>
      <c r="K81" s="23">
        <f>SUM(C81,H81)</f>
        <v>219257.51575999998</v>
      </c>
      <c r="L81" s="23">
        <f>SUM(I81,E81)</f>
        <v>165001.42271000001</v>
      </c>
      <c r="M81" s="31">
        <f t="shared" si="1"/>
        <v>0.75254625656988261</v>
      </c>
      <c r="N81" s="26" t="e">
        <f>#N/A</f>
        <v>#N/A</v>
      </c>
      <c r="O81" s="127"/>
    </row>
    <row r="82" spans="1:15" s="32" customFormat="1" ht="12.75" customHeight="1" x14ac:dyDescent="0.25">
      <c r="A82" s="28" t="s">
        <v>104</v>
      </c>
      <c r="B82" s="29">
        <v>21000000</v>
      </c>
      <c r="C82" s="128">
        <f>SUM(C83,C84,C85,C88,C90,C97,)</f>
        <v>9053.7999999999993</v>
      </c>
      <c r="D82" s="582">
        <f>SUM(D83,D84,D85,D88,D90,D97,)</f>
        <v>7557.75</v>
      </c>
      <c r="E82" s="128">
        <f>SUM(E83,E84,E85,E88,E90,E97,)</f>
        <v>4227.5524700000005</v>
      </c>
      <c r="F82" s="31">
        <f t="shared" si="0"/>
        <v>0.46693680774923246</v>
      </c>
      <c r="G82" s="580">
        <f t="shared" si="2"/>
        <v>0.55936654030630817</v>
      </c>
      <c r="H82" s="128">
        <f>SUM(H83:H85,H88,H90,H97,H98)</f>
        <v>0</v>
      </c>
      <c r="I82" s="128"/>
      <c r="J82" s="31" t="str">
        <f t="shared" si="3"/>
        <v/>
      </c>
      <c r="K82" s="30">
        <f>SUM(C82,H82)</f>
        <v>9053.7999999999993</v>
      </c>
      <c r="L82" s="30">
        <f>SUM(I82,E82)</f>
        <v>4227.5524700000005</v>
      </c>
      <c r="M82" s="31">
        <f t="shared" si="1"/>
        <v>0.46693680774923246</v>
      </c>
      <c r="N82" s="26" t="e">
        <f>#N/A</f>
        <v>#N/A</v>
      </c>
    </row>
    <row r="83" spans="1:15" s="130" customFormat="1" ht="65.400000000000006" customHeight="1" x14ac:dyDescent="0.25">
      <c r="A83" s="77" t="s">
        <v>105</v>
      </c>
      <c r="B83" s="129">
        <v>21010000</v>
      </c>
      <c r="C83" s="34">
        <v>1548</v>
      </c>
      <c r="D83" s="80">
        <v>1320</v>
      </c>
      <c r="E83" s="34">
        <v>663.78906000000006</v>
      </c>
      <c r="F83" s="115">
        <f t="shared" si="0"/>
        <v>0.42880430232558142</v>
      </c>
      <c r="G83" s="583">
        <f t="shared" si="2"/>
        <v>0.5028705</v>
      </c>
      <c r="H83" s="117"/>
      <c r="I83" s="117"/>
      <c r="J83" s="115" t="str">
        <f t="shared" si="3"/>
        <v/>
      </c>
      <c r="K83" s="34">
        <f>SUM(C83,H83)</f>
        <v>1548</v>
      </c>
      <c r="L83" s="34">
        <f>SUM(I83,E83)</f>
        <v>663.78906000000006</v>
      </c>
      <c r="M83" s="115">
        <f t="shared" si="1"/>
        <v>0.42880430232558142</v>
      </c>
      <c r="N83" s="37" t="e">
        <f>#N/A</f>
        <v>#N/A</v>
      </c>
    </row>
    <row r="84" spans="1:15" s="130" customFormat="1" ht="13.8" x14ac:dyDescent="0.25">
      <c r="A84" s="131" t="s">
        <v>106</v>
      </c>
      <c r="B84" s="129">
        <v>21050000</v>
      </c>
      <c r="C84" s="34">
        <v>2650</v>
      </c>
      <c r="D84" s="80">
        <v>2650</v>
      </c>
      <c r="E84" s="34">
        <v>0</v>
      </c>
      <c r="F84" s="115">
        <f t="shared" si="0"/>
        <v>0</v>
      </c>
      <c r="G84" s="583">
        <f t="shared" si="2"/>
        <v>0</v>
      </c>
      <c r="H84" s="117"/>
      <c r="I84" s="117"/>
      <c r="J84" s="115" t="str">
        <f t="shared" si="3"/>
        <v/>
      </c>
      <c r="K84" s="34">
        <f>SUM(C84,H84)</f>
        <v>2650</v>
      </c>
      <c r="L84" s="34">
        <f>SUM(I84,E84)</f>
        <v>0</v>
      </c>
      <c r="M84" s="115">
        <f t="shared" si="1"/>
        <v>0</v>
      </c>
      <c r="N84" s="37" t="e">
        <f>#N/A</f>
        <v>#N/A</v>
      </c>
    </row>
    <row r="85" spans="1:15" ht="53.25" hidden="1" customHeight="1" x14ac:dyDescent="0.25">
      <c r="A85" s="735" t="s">
        <v>106</v>
      </c>
      <c r="B85" s="736">
        <v>21050000</v>
      </c>
      <c r="C85" s="8">
        <v>0</v>
      </c>
      <c r="D85" s="8">
        <v>0</v>
      </c>
      <c r="E85" s="8">
        <v>0</v>
      </c>
      <c r="F85" s="723" t="str">
        <f t="shared" si="0"/>
        <v/>
      </c>
      <c r="G85" s="49" t="str">
        <f t="shared" si="2"/>
        <v/>
      </c>
      <c r="H85" s="132"/>
      <c r="I85" s="132"/>
      <c r="J85" s="737" t="str">
        <f t="shared" si="3"/>
        <v/>
      </c>
      <c r="K85" s="738" t="e">
        <f>#N/A</f>
        <v>#N/A</v>
      </c>
      <c r="L85" s="738" t="e">
        <f>#N/A</f>
        <v>#N/A</v>
      </c>
      <c r="M85" s="723" t="str">
        <f t="shared" si="1"/>
        <v/>
      </c>
      <c r="N85" s="37" t="e">
        <f>#N/A</f>
        <v>#N/A</v>
      </c>
    </row>
    <row r="86" spans="1:15" ht="42" hidden="1" customHeight="1" x14ac:dyDescent="0.25">
      <c r="A86" s="82" t="s">
        <v>107</v>
      </c>
      <c r="B86" s="89">
        <v>21050100</v>
      </c>
      <c r="C86" s="8">
        <v>0</v>
      </c>
      <c r="D86" s="8">
        <v>0</v>
      </c>
      <c r="E86" s="8">
        <v>0</v>
      </c>
      <c r="F86" s="87" t="str">
        <f t="shared" si="0"/>
        <v/>
      </c>
      <c r="G86" s="87" t="str">
        <f t="shared" si="2"/>
        <v/>
      </c>
      <c r="H86" s="86"/>
      <c r="I86" s="86"/>
      <c r="J86" s="87" t="str">
        <f t="shared" si="3"/>
        <v/>
      </c>
      <c r="K86" s="84"/>
      <c r="L86" s="84"/>
      <c r="M86" s="63" t="str">
        <f t="shared" si="1"/>
        <v/>
      </c>
      <c r="N86" s="37" t="e">
        <f>#N/A</f>
        <v>#N/A</v>
      </c>
    </row>
    <row r="87" spans="1:15" ht="34.5" hidden="1" customHeight="1" x14ac:dyDescent="0.25">
      <c r="A87" s="82" t="s">
        <v>108</v>
      </c>
      <c r="B87" s="89">
        <v>21050200</v>
      </c>
      <c r="C87" s="8">
        <v>0</v>
      </c>
      <c r="D87" s="8">
        <v>0</v>
      </c>
      <c r="E87" s="8">
        <v>0</v>
      </c>
      <c r="F87" s="87" t="str">
        <f t="shared" si="0"/>
        <v/>
      </c>
      <c r="G87" s="87" t="str">
        <f t="shared" si="2"/>
        <v/>
      </c>
      <c r="H87" s="86"/>
      <c r="I87" s="86"/>
      <c r="J87" s="87" t="str">
        <f t="shared" si="3"/>
        <v/>
      </c>
      <c r="K87" s="84"/>
      <c r="L87" s="84"/>
      <c r="M87" s="63" t="str">
        <f t="shared" si="1"/>
        <v/>
      </c>
      <c r="N87" s="37" t="e">
        <f>#N/A</f>
        <v>#N/A</v>
      </c>
    </row>
    <row r="88" spans="1:15" ht="30.75" hidden="1" customHeight="1" x14ac:dyDescent="0.25">
      <c r="A88" s="82" t="s">
        <v>109</v>
      </c>
      <c r="B88" s="59">
        <v>21070000</v>
      </c>
      <c r="C88" s="8">
        <v>0</v>
      </c>
      <c r="D88" s="8">
        <v>0</v>
      </c>
      <c r="E88" s="8">
        <v>0</v>
      </c>
      <c r="F88" s="87" t="str">
        <f t="shared" si="0"/>
        <v/>
      </c>
      <c r="G88" s="87" t="str">
        <f t="shared" si="2"/>
        <v/>
      </c>
      <c r="H88" s="86"/>
      <c r="I88" s="86"/>
      <c r="J88" s="87" t="str">
        <f t="shared" si="3"/>
        <v/>
      </c>
      <c r="K88" s="84"/>
      <c r="L88" s="84"/>
      <c r="M88" s="63" t="str">
        <f t="shared" si="1"/>
        <v/>
      </c>
      <c r="N88" s="37" t="e">
        <f>#N/A</f>
        <v>#N/A</v>
      </c>
    </row>
    <row r="89" spans="1:15" ht="26.4" hidden="1" x14ac:dyDescent="0.25">
      <c r="A89" s="633" t="s">
        <v>110</v>
      </c>
      <c r="B89" s="634">
        <v>21070900</v>
      </c>
      <c r="C89" s="8">
        <v>0</v>
      </c>
      <c r="D89" s="8">
        <v>0</v>
      </c>
      <c r="E89" s="8">
        <v>0</v>
      </c>
      <c r="F89" s="635" t="str">
        <f t="shared" si="0"/>
        <v/>
      </c>
      <c r="G89" s="87" t="str">
        <f t="shared" si="2"/>
        <v/>
      </c>
      <c r="H89" s="101"/>
      <c r="I89" s="101"/>
      <c r="J89" s="635" t="str">
        <f t="shared" si="3"/>
        <v/>
      </c>
      <c r="K89" s="216"/>
      <c r="L89" s="216"/>
      <c r="M89" s="499" t="str">
        <f t="shared" si="1"/>
        <v/>
      </c>
      <c r="N89" s="37" t="e">
        <f>#N/A</f>
        <v>#N/A</v>
      </c>
    </row>
    <row r="90" spans="1:15" s="130" customFormat="1" ht="13.8" x14ac:dyDescent="0.25">
      <c r="A90" s="28" t="s">
        <v>111</v>
      </c>
      <c r="B90" s="29">
        <v>21080000</v>
      </c>
      <c r="C90" s="30">
        <f>C91+C92+C93+C94+C95+C96</f>
        <v>4855.8</v>
      </c>
      <c r="D90" s="585">
        <f>D91+D92+D93+D94+D95+D96</f>
        <v>3587.75</v>
      </c>
      <c r="E90" s="30">
        <f>E91+E92+E93+E94+E95+E96</f>
        <v>3563.76341</v>
      </c>
      <c r="F90" s="31">
        <f t="shared" si="0"/>
        <v>0.7339189031673462</v>
      </c>
      <c r="G90" s="583">
        <f t="shared" si="2"/>
        <v>0.99331430841056378</v>
      </c>
      <c r="H90" s="128"/>
      <c r="I90" s="128"/>
      <c r="J90" s="31" t="str">
        <f t="shared" si="3"/>
        <v/>
      </c>
      <c r="K90" s="30">
        <f t="shared" ref="K90:K96" si="15">SUM(C90,H90)</f>
        <v>4855.8</v>
      </c>
      <c r="L90" s="30">
        <f>SUM(I90,E90)</f>
        <v>3563.76341</v>
      </c>
      <c r="M90" s="31">
        <f t="shared" ref="M90:M180" si="16">IFERROR(L90/K90,"")</f>
        <v>0.7339189031673462</v>
      </c>
      <c r="N90" s="37" t="e">
        <f>#N/A</f>
        <v>#N/A</v>
      </c>
    </row>
    <row r="91" spans="1:15" s="130" customFormat="1" ht="13.8" x14ac:dyDescent="0.25">
      <c r="A91" s="77" t="s">
        <v>112</v>
      </c>
      <c r="B91" s="129" t="s">
        <v>113</v>
      </c>
      <c r="C91" s="34">
        <v>190</v>
      </c>
      <c r="D91" s="81">
        <v>135</v>
      </c>
      <c r="E91" s="34">
        <v>57.350070000000002</v>
      </c>
      <c r="F91" s="115">
        <f t="shared" ref="F91:F154" si="17">IFERROR(E91/C91,"")</f>
        <v>0.30184247368421052</v>
      </c>
      <c r="G91" s="583">
        <f t="shared" ref="G91:G154" si="18">IFERROR(E91/D91,"")</f>
        <v>0.42481533333333338</v>
      </c>
      <c r="H91" s="117"/>
      <c r="I91" s="117"/>
      <c r="J91" s="115"/>
      <c r="K91" s="34">
        <f t="shared" si="15"/>
        <v>190</v>
      </c>
      <c r="L91" s="34">
        <f t="shared" ref="L91:L96" si="19">SUM(I91,E91)</f>
        <v>57.350070000000002</v>
      </c>
      <c r="M91" s="115">
        <f t="shared" si="16"/>
        <v>0.30184247368421052</v>
      </c>
      <c r="N91" s="37"/>
    </row>
    <row r="92" spans="1:15" s="130" customFormat="1" ht="53.4" customHeight="1" x14ac:dyDescent="0.25">
      <c r="A92" s="77" t="s">
        <v>114</v>
      </c>
      <c r="B92" s="129" t="s">
        <v>115</v>
      </c>
      <c r="C92" s="34">
        <v>10</v>
      </c>
      <c r="D92" s="81">
        <v>9</v>
      </c>
      <c r="E92" s="34">
        <v>78.812579999999997</v>
      </c>
      <c r="F92" s="115">
        <f t="shared" si="17"/>
        <v>7.8812579999999999</v>
      </c>
      <c r="G92" s="583">
        <f t="shared" si="18"/>
        <v>8.7569533333333336</v>
      </c>
      <c r="H92" s="117"/>
      <c r="I92" s="117"/>
      <c r="J92" s="115"/>
      <c r="K92" s="34">
        <f t="shared" si="15"/>
        <v>10</v>
      </c>
      <c r="L92" s="34">
        <f t="shared" si="19"/>
        <v>78.812579999999997</v>
      </c>
      <c r="M92" s="115">
        <f t="shared" si="16"/>
        <v>7.8812579999999999</v>
      </c>
      <c r="N92" s="37"/>
    </row>
    <row r="93" spans="1:15" s="130" customFormat="1" ht="19.5" customHeight="1" x14ac:dyDescent="0.25">
      <c r="A93" s="77" t="s">
        <v>116</v>
      </c>
      <c r="B93" s="129" t="s">
        <v>117</v>
      </c>
      <c r="C93" s="34">
        <v>2960</v>
      </c>
      <c r="D93" s="81">
        <v>2250</v>
      </c>
      <c r="E93" s="34">
        <v>1412.6426100000001</v>
      </c>
      <c r="F93" s="115">
        <f t="shared" si="17"/>
        <v>0.47724412500000002</v>
      </c>
      <c r="G93" s="583">
        <f t="shared" si="18"/>
        <v>0.62784116000000001</v>
      </c>
      <c r="H93" s="117"/>
      <c r="I93" s="117"/>
      <c r="J93" s="115"/>
      <c r="K93" s="34">
        <f t="shared" si="15"/>
        <v>2960</v>
      </c>
      <c r="L93" s="34">
        <f t="shared" si="19"/>
        <v>1412.6426100000001</v>
      </c>
      <c r="M93" s="115">
        <f t="shared" si="16"/>
        <v>0.47724412500000002</v>
      </c>
      <c r="N93" s="37"/>
    </row>
    <row r="94" spans="1:15" s="130" customFormat="1" ht="55.5" customHeight="1" x14ac:dyDescent="0.25">
      <c r="A94" s="77" t="s">
        <v>118</v>
      </c>
      <c r="B94" s="129" t="s">
        <v>119</v>
      </c>
      <c r="C94" s="34">
        <v>790</v>
      </c>
      <c r="D94" s="81">
        <v>530</v>
      </c>
      <c r="E94" s="34">
        <v>1414.0496699999999</v>
      </c>
      <c r="F94" s="115">
        <f t="shared" si="17"/>
        <v>1.7899362911392402</v>
      </c>
      <c r="G94" s="583">
        <f t="shared" si="18"/>
        <v>2.6680182452830188</v>
      </c>
      <c r="H94" s="117"/>
      <c r="I94" s="117"/>
      <c r="J94" s="115"/>
      <c r="K94" s="34">
        <f t="shared" si="15"/>
        <v>790</v>
      </c>
      <c r="L94" s="34">
        <f t="shared" si="19"/>
        <v>1414.0496699999999</v>
      </c>
      <c r="M94" s="115">
        <f t="shared" si="16"/>
        <v>1.7899362911392402</v>
      </c>
      <c r="N94" s="37"/>
    </row>
    <row r="95" spans="1:15" s="130" customFormat="1" ht="41.4" customHeight="1" x14ac:dyDescent="0.25">
      <c r="A95" s="77" t="s">
        <v>120</v>
      </c>
      <c r="B95" s="129" t="s">
        <v>121</v>
      </c>
      <c r="C95" s="34">
        <v>860.8</v>
      </c>
      <c r="D95" s="81">
        <v>630</v>
      </c>
      <c r="E95" s="34">
        <v>569.72847999999999</v>
      </c>
      <c r="F95" s="115">
        <f t="shared" si="17"/>
        <v>0.66185929368029739</v>
      </c>
      <c r="G95" s="583">
        <f t="shared" si="18"/>
        <v>0.9043309206349206</v>
      </c>
      <c r="H95" s="117"/>
      <c r="I95" s="117"/>
      <c r="J95" s="115"/>
      <c r="K95" s="34">
        <f t="shared" si="15"/>
        <v>860.8</v>
      </c>
      <c r="L95" s="34">
        <f t="shared" si="19"/>
        <v>569.72847999999999</v>
      </c>
      <c r="M95" s="115">
        <f t="shared" si="16"/>
        <v>0.66185929368029739</v>
      </c>
      <c r="N95" s="37"/>
    </row>
    <row r="96" spans="1:15" s="130" customFormat="1" ht="66.599999999999994" customHeight="1" x14ac:dyDescent="0.25">
      <c r="A96" s="77" t="s">
        <v>122</v>
      </c>
      <c r="B96" s="129" t="s">
        <v>123</v>
      </c>
      <c r="C96" s="34">
        <v>45</v>
      </c>
      <c r="D96" s="81">
        <v>33.75</v>
      </c>
      <c r="E96" s="34">
        <v>31.18</v>
      </c>
      <c r="F96" s="115">
        <f t="shared" si="17"/>
        <v>0.69288888888888889</v>
      </c>
      <c r="G96" s="583">
        <f t="shared" si="18"/>
        <v>0.92385185185185181</v>
      </c>
      <c r="H96" s="117"/>
      <c r="I96" s="117"/>
      <c r="J96" s="115"/>
      <c r="K96" s="34">
        <f t="shared" si="15"/>
        <v>45</v>
      </c>
      <c r="L96" s="34">
        <f t="shared" si="19"/>
        <v>31.18</v>
      </c>
      <c r="M96" s="115">
        <f t="shared" si="16"/>
        <v>0.69288888888888889</v>
      </c>
      <c r="N96" s="37"/>
    </row>
    <row r="97" spans="1:14" ht="26.4" hidden="1" x14ac:dyDescent="0.25">
      <c r="A97" s="721" t="s">
        <v>124</v>
      </c>
      <c r="B97" s="722">
        <v>21100000</v>
      </c>
      <c r="C97" s="83"/>
      <c r="D97" s="83"/>
      <c r="E97" s="83"/>
      <c r="F97" s="496" t="str">
        <f t="shared" si="17"/>
        <v/>
      </c>
      <c r="G97" s="63" t="str">
        <f t="shared" si="18"/>
        <v/>
      </c>
      <c r="H97" s="83"/>
      <c r="I97" s="83"/>
      <c r="J97" s="737" t="str">
        <f t="shared" ref="J97:J181" si="20">IFERROR(I97/H97,"")</f>
        <v/>
      </c>
      <c r="K97" s="132"/>
      <c r="L97" s="132"/>
      <c r="M97" s="496" t="str">
        <f t="shared" si="16"/>
        <v/>
      </c>
      <c r="N97" s="37" t="e">
        <f>#N/A</f>
        <v>#N/A</v>
      </c>
    </row>
    <row r="98" spans="1:14" ht="26.4" hidden="1" x14ac:dyDescent="0.25">
      <c r="A98" s="636" t="s">
        <v>125</v>
      </c>
      <c r="B98" s="637">
        <v>21110000</v>
      </c>
      <c r="C98" s="134">
        <v>0</v>
      </c>
      <c r="D98" s="135"/>
      <c r="E98" s="134">
        <v>0</v>
      </c>
      <c r="F98" s="627" t="str">
        <f t="shared" si="17"/>
        <v/>
      </c>
      <c r="G98" s="136" t="str">
        <f t="shared" si="18"/>
        <v/>
      </c>
      <c r="H98" s="137"/>
      <c r="I98" s="137"/>
      <c r="J98" s="638" t="str">
        <f t="shared" si="20"/>
        <v/>
      </c>
      <c r="K98" s="639">
        <f>SUM(C98,H98)</f>
        <v>0</v>
      </c>
      <c r="L98" s="639">
        <f>SUM(I98,E98)</f>
        <v>0</v>
      </c>
      <c r="M98" s="638" t="str">
        <f t="shared" si="16"/>
        <v/>
      </c>
      <c r="N98" s="37"/>
    </row>
    <row r="99" spans="1:14" s="32" customFormat="1" ht="31.5" customHeight="1" x14ac:dyDescent="0.25">
      <c r="A99" s="139" t="s">
        <v>126</v>
      </c>
      <c r="B99" s="29">
        <v>22000000</v>
      </c>
      <c r="C99" s="30">
        <f>SUM(C100,C105,C106,C107,C108,C109,C110)</f>
        <v>40278</v>
      </c>
      <c r="D99" s="578">
        <f>SUM(D100,D105,D106,D107,D108,D109,D110)</f>
        <v>30745</v>
      </c>
      <c r="E99" s="30">
        <f>SUM(E100,E105,E106,E107,E108,E109,E110)</f>
        <v>40229.674570000003</v>
      </c>
      <c r="F99" s="31">
        <f t="shared" si="17"/>
        <v>0.99880020284026028</v>
      </c>
      <c r="G99" s="580">
        <f t="shared" si="18"/>
        <v>1.3084948632297935</v>
      </c>
      <c r="H99" s="30">
        <f>SUM(H100,H105,H106,H107,H108,H109,H110)</f>
        <v>0</v>
      </c>
      <c r="I99" s="30">
        <f>SUM(I100,I105,I106,I107,I108,I109,I110)</f>
        <v>0</v>
      </c>
      <c r="J99" s="31" t="str">
        <f t="shared" si="20"/>
        <v/>
      </c>
      <c r="K99" s="30">
        <f>SUM(C99,H99)</f>
        <v>40278</v>
      </c>
      <c r="L99" s="30">
        <f>SUM(I99,E99)</f>
        <v>40229.674570000003</v>
      </c>
      <c r="M99" s="31">
        <f t="shared" si="16"/>
        <v>0.99880020284026028</v>
      </c>
      <c r="N99" s="26" t="e">
        <f>#N/A</f>
        <v>#N/A</v>
      </c>
    </row>
    <row r="100" spans="1:14" s="130" customFormat="1" ht="13.8" x14ac:dyDescent="0.25">
      <c r="A100" s="139" t="s">
        <v>127</v>
      </c>
      <c r="B100" s="29">
        <v>22010000</v>
      </c>
      <c r="C100" s="30">
        <f>C101+C102+C103+C104</f>
        <v>30000</v>
      </c>
      <c r="D100" s="585">
        <f t="shared" ref="D100:E100" si="21">D101+D102+D103+D104</f>
        <v>23019.3</v>
      </c>
      <c r="E100" s="30">
        <f t="shared" si="21"/>
        <v>29355.963739999999</v>
      </c>
      <c r="F100" s="31">
        <f t="shared" si="17"/>
        <v>0.97853212466666661</v>
      </c>
      <c r="G100" s="581">
        <f t="shared" si="18"/>
        <v>1.2752761265546737</v>
      </c>
      <c r="H100" s="128"/>
      <c r="I100" s="128"/>
      <c r="J100" s="31" t="str">
        <f t="shared" si="20"/>
        <v/>
      </c>
      <c r="K100" s="30">
        <f>SUM(C100,H100)</f>
        <v>30000</v>
      </c>
      <c r="L100" s="30">
        <f>SUM(I100,E100)</f>
        <v>29355.963739999999</v>
      </c>
      <c r="M100" s="31">
        <f t="shared" si="16"/>
        <v>0.97853212466666661</v>
      </c>
      <c r="N100" s="37" t="e">
        <f>#N/A</f>
        <v>#N/A</v>
      </c>
    </row>
    <row r="101" spans="1:14" s="130" customFormat="1" ht="26.4" x14ac:dyDescent="0.25">
      <c r="A101" s="140" t="s">
        <v>128</v>
      </c>
      <c r="B101" s="129" t="s">
        <v>129</v>
      </c>
      <c r="C101" s="34">
        <v>1905</v>
      </c>
      <c r="D101" s="80">
        <v>1400.5</v>
      </c>
      <c r="E101" s="34">
        <v>1626.0735300000001</v>
      </c>
      <c r="F101" s="115">
        <f t="shared" si="17"/>
        <v>0.85358190551181112</v>
      </c>
      <c r="G101" s="581">
        <f t="shared" si="18"/>
        <v>1.1610664262763299</v>
      </c>
      <c r="H101" s="117"/>
      <c r="I101" s="117"/>
      <c r="J101" s="115"/>
      <c r="K101" s="34">
        <f t="shared" ref="K101:K104" si="22">SUM(C101,H101)</f>
        <v>1905</v>
      </c>
      <c r="L101" s="34">
        <f t="shared" ref="L101:L104" si="23">SUM(I101,E101)</f>
        <v>1626.0735300000001</v>
      </c>
      <c r="M101" s="115">
        <f t="shared" si="16"/>
        <v>0.85358190551181112</v>
      </c>
      <c r="N101" s="37"/>
    </row>
    <row r="102" spans="1:14" s="130" customFormat="1" ht="13.8" x14ac:dyDescent="0.25">
      <c r="A102" s="140" t="s">
        <v>130</v>
      </c>
      <c r="B102" s="129" t="s">
        <v>131</v>
      </c>
      <c r="C102" s="34">
        <v>27203</v>
      </c>
      <c r="D102" s="80">
        <v>20953</v>
      </c>
      <c r="E102" s="34">
        <v>26999.118399999999</v>
      </c>
      <c r="F102" s="115">
        <f t="shared" si="17"/>
        <v>0.9925051795757821</v>
      </c>
      <c r="G102" s="581">
        <f t="shared" si="18"/>
        <v>1.2885562162936095</v>
      </c>
      <c r="H102" s="117"/>
      <c r="I102" s="117"/>
      <c r="J102" s="115"/>
      <c r="K102" s="34">
        <f t="shared" si="22"/>
        <v>27203</v>
      </c>
      <c r="L102" s="34">
        <f t="shared" si="23"/>
        <v>26999.118399999999</v>
      </c>
      <c r="M102" s="115">
        <f t="shared" si="16"/>
        <v>0.9925051795757821</v>
      </c>
      <c r="N102" s="37"/>
    </row>
    <row r="103" spans="1:14" s="130" customFormat="1" ht="30" customHeight="1" x14ac:dyDescent="0.25">
      <c r="A103" s="140" t="s">
        <v>132</v>
      </c>
      <c r="B103" s="142" t="s">
        <v>133</v>
      </c>
      <c r="C103" s="34">
        <v>827</v>
      </c>
      <c r="D103" s="141">
        <v>615.6</v>
      </c>
      <c r="E103" s="34">
        <v>664.75553000000002</v>
      </c>
      <c r="F103" s="115">
        <f t="shared" si="17"/>
        <v>0.80381563482466745</v>
      </c>
      <c r="G103" s="581">
        <f t="shared" si="18"/>
        <v>1.0798497888239116</v>
      </c>
      <c r="H103" s="117"/>
      <c r="I103" s="117"/>
      <c r="J103" s="115"/>
      <c r="K103" s="34">
        <f t="shared" si="22"/>
        <v>827</v>
      </c>
      <c r="L103" s="34">
        <f t="shared" si="23"/>
        <v>664.75553000000002</v>
      </c>
      <c r="M103" s="115">
        <f t="shared" si="16"/>
        <v>0.80381563482466745</v>
      </c>
      <c r="N103" s="37"/>
    </row>
    <row r="104" spans="1:14" s="130" customFormat="1" ht="74.400000000000006" customHeight="1" x14ac:dyDescent="0.25">
      <c r="A104" s="140" t="s">
        <v>134</v>
      </c>
      <c r="B104" s="142" t="s">
        <v>135</v>
      </c>
      <c r="C104" s="34">
        <v>65</v>
      </c>
      <c r="D104" s="80">
        <v>50.2</v>
      </c>
      <c r="E104" s="34">
        <v>66.016279999999995</v>
      </c>
      <c r="F104" s="115">
        <f t="shared" si="17"/>
        <v>1.0156350769230769</v>
      </c>
      <c r="G104" s="581">
        <f t="shared" si="18"/>
        <v>1.3150653386454181</v>
      </c>
      <c r="H104" s="117"/>
      <c r="I104" s="117"/>
      <c r="J104" s="115"/>
      <c r="K104" s="34">
        <f t="shared" si="22"/>
        <v>65</v>
      </c>
      <c r="L104" s="34">
        <f t="shared" si="23"/>
        <v>66.016279999999995</v>
      </c>
      <c r="M104" s="115">
        <f t="shared" si="16"/>
        <v>1.0156350769230769</v>
      </c>
      <c r="N104" s="37"/>
    </row>
    <row r="105" spans="1:14" ht="17.25" hidden="1" customHeight="1" x14ac:dyDescent="0.25">
      <c r="A105" s="155" t="s">
        <v>136</v>
      </c>
      <c r="B105" s="144">
        <v>22020000</v>
      </c>
      <c r="C105" s="8">
        <v>0</v>
      </c>
      <c r="D105" s="8"/>
      <c r="E105" s="8">
        <v>0</v>
      </c>
      <c r="F105" s="737" t="str">
        <f t="shared" si="17"/>
        <v/>
      </c>
      <c r="G105" s="87" t="str">
        <f t="shared" si="18"/>
        <v/>
      </c>
      <c r="H105" s="83"/>
      <c r="I105" s="83"/>
      <c r="J105" s="496" t="str">
        <f t="shared" si="20"/>
        <v/>
      </c>
      <c r="K105" s="132" t="e">
        <f>#N/A</f>
        <v>#N/A</v>
      </c>
      <c r="L105" s="132" t="e">
        <f>#N/A</f>
        <v>#N/A</v>
      </c>
      <c r="M105" s="496" t="str">
        <f t="shared" si="16"/>
        <v/>
      </c>
      <c r="N105" s="37" t="e">
        <f>#N/A</f>
        <v>#N/A</v>
      </c>
    </row>
    <row r="106" spans="1:14" ht="33.75" hidden="1" customHeight="1" x14ac:dyDescent="0.25">
      <c r="A106" s="82" t="s">
        <v>137</v>
      </c>
      <c r="B106" s="59">
        <v>22030000</v>
      </c>
      <c r="C106" s="8">
        <v>0</v>
      </c>
      <c r="D106" s="8"/>
      <c r="E106" s="8">
        <v>0</v>
      </c>
      <c r="F106" s="63" t="str">
        <f t="shared" si="17"/>
        <v/>
      </c>
      <c r="G106" s="63" t="str">
        <f t="shared" si="18"/>
        <v/>
      </c>
      <c r="H106" s="86"/>
      <c r="I106" s="86"/>
      <c r="J106" s="63" t="str">
        <f t="shared" si="20"/>
        <v/>
      </c>
      <c r="K106" s="84" t="e">
        <f>#N/A</f>
        <v>#N/A</v>
      </c>
      <c r="L106" s="84" t="e">
        <f>#N/A</f>
        <v>#N/A</v>
      </c>
      <c r="M106" s="63" t="str">
        <f t="shared" si="16"/>
        <v/>
      </c>
      <c r="N106" s="37" t="e">
        <f>#N/A</f>
        <v>#N/A</v>
      </c>
    </row>
    <row r="107" spans="1:14" ht="31.5" hidden="1" customHeight="1" x14ac:dyDescent="0.25">
      <c r="A107" s="82" t="s">
        <v>138</v>
      </c>
      <c r="B107" s="59">
        <v>22040000</v>
      </c>
      <c r="C107" s="8">
        <v>0</v>
      </c>
      <c r="D107" s="8">
        <v>0</v>
      </c>
      <c r="E107" s="8">
        <v>0</v>
      </c>
      <c r="F107" s="63" t="str">
        <f t="shared" si="17"/>
        <v/>
      </c>
      <c r="G107" s="63" t="str">
        <f t="shared" si="18"/>
        <v/>
      </c>
      <c r="H107" s="86"/>
      <c r="I107" s="86"/>
      <c r="J107" s="63" t="str">
        <f t="shared" si="20"/>
        <v/>
      </c>
      <c r="K107" s="84" t="e">
        <f>#N/A</f>
        <v>#N/A</v>
      </c>
      <c r="L107" s="84" t="e">
        <f>#N/A</f>
        <v>#N/A</v>
      </c>
      <c r="M107" s="63" t="str">
        <f t="shared" si="16"/>
        <v/>
      </c>
      <c r="N107" s="37" t="e">
        <f>#N/A</f>
        <v>#N/A</v>
      </c>
    </row>
    <row r="108" spans="1:14" ht="30" hidden="1" customHeight="1" x14ac:dyDescent="0.25">
      <c r="A108" s="633" t="s">
        <v>139</v>
      </c>
      <c r="B108" s="634">
        <v>22060000</v>
      </c>
      <c r="C108" s="8">
        <v>0</v>
      </c>
      <c r="D108" s="8">
        <v>0</v>
      </c>
      <c r="E108" s="8">
        <v>0</v>
      </c>
      <c r="F108" s="499" t="str">
        <f t="shared" si="17"/>
        <v/>
      </c>
      <c r="G108" s="63" t="str">
        <f t="shared" si="18"/>
        <v/>
      </c>
      <c r="H108" s="101"/>
      <c r="I108" s="101"/>
      <c r="J108" s="499" t="str">
        <f t="shared" si="20"/>
        <v/>
      </c>
      <c r="K108" s="216" t="e">
        <f>#N/A</f>
        <v>#N/A</v>
      </c>
      <c r="L108" s="216" t="e">
        <f>#N/A</f>
        <v>#N/A</v>
      </c>
      <c r="M108" s="499" t="str">
        <f t="shared" si="16"/>
        <v/>
      </c>
      <c r="N108" s="37" t="e">
        <f>#N/A</f>
        <v>#N/A</v>
      </c>
    </row>
    <row r="109" spans="1:14" s="130" customFormat="1" ht="34.200000000000003" customHeight="1" x14ac:dyDescent="0.25">
      <c r="A109" s="145" t="s">
        <v>140</v>
      </c>
      <c r="B109" s="129">
        <v>22080000</v>
      </c>
      <c r="C109" s="34">
        <v>9240</v>
      </c>
      <c r="D109" s="80">
        <v>6930</v>
      </c>
      <c r="E109" s="34">
        <v>10084.81465</v>
      </c>
      <c r="F109" s="115">
        <f t="shared" si="17"/>
        <v>1.0914301569264069</v>
      </c>
      <c r="G109" s="581">
        <f t="shared" si="18"/>
        <v>1.4552402092352092</v>
      </c>
      <c r="H109" s="117"/>
      <c r="I109" s="117"/>
      <c r="J109" s="115" t="str">
        <f t="shared" si="20"/>
        <v/>
      </c>
      <c r="K109" s="34">
        <f t="shared" ref="K109:K113" si="24">SUM(C109,H109)</f>
        <v>9240</v>
      </c>
      <c r="L109" s="34">
        <f t="shared" ref="L109:L113" si="25">SUM(I109,E109)</f>
        <v>10084.81465</v>
      </c>
      <c r="M109" s="115">
        <f t="shared" si="16"/>
        <v>1.0914301569264069</v>
      </c>
      <c r="N109" s="37" t="e">
        <f>#N/A</f>
        <v>#N/A</v>
      </c>
    </row>
    <row r="110" spans="1:14" s="130" customFormat="1" ht="13.8" x14ac:dyDescent="0.25">
      <c r="A110" s="114" t="s">
        <v>141</v>
      </c>
      <c r="B110" s="29">
        <v>22090000</v>
      </c>
      <c r="C110" s="30">
        <f>C111+C112+C113</f>
        <v>1038</v>
      </c>
      <c r="D110" s="585">
        <f t="shared" ref="D110:E110" si="26">D111+D112+D113</f>
        <v>795.69999999999993</v>
      </c>
      <c r="E110" s="30">
        <f t="shared" si="26"/>
        <v>788.89617999999996</v>
      </c>
      <c r="F110" s="31">
        <f t="shared" si="17"/>
        <v>0.76001558766859345</v>
      </c>
      <c r="G110" s="581">
        <f t="shared" si="18"/>
        <v>0.99144926479829087</v>
      </c>
      <c r="H110" s="117"/>
      <c r="I110" s="117"/>
      <c r="J110" s="115" t="str">
        <f t="shared" si="20"/>
        <v/>
      </c>
      <c r="K110" s="30">
        <f t="shared" si="24"/>
        <v>1038</v>
      </c>
      <c r="L110" s="30">
        <f t="shared" si="25"/>
        <v>788.89617999999996</v>
      </c>
      <c r="M110" s="31">
        <f t="shared" si="16"/>
        <v>0.76001558766859345</v>
      </c>
      <c r="N110" s="37" t="e">
        <f>#N/A</f>
        <v>#N/A</v>
      </c>
    </row>
    <row r="111" spans="1:14" s="130" customFormat="1" ht="48.6" customHeight="1" x14ac:dyDescent="0.25">
      <c r="A111" s="154" t="s">
        <v>686</v>
      </c>
      <c r="B111" s="129" t="s">
        <v>142</v>
      </c>
      <c r="C111" s="34">
        <v>868</v>
      </c>
      <c r="D111" s="81">
        <v>661.3</v>
      </c>
      <c r="E111" s="34">
        <v>700.84200999999996</v>
      </c>
      <c r="F111" s="115">
        <f t="shared" si="17"/>
        <v>0.80742167050691238</v>
      </c>
      <c r="G111" s="581">
        <f t="shared" si="18"/>
        <v>1.0597943595947377</v>
      </c>
      <c r="H111" s="117"/>
      <c r="I111" s="117"/>
      <c r="J111" s="115"/>
      <c r="K111" s="34">
        <f t="shared" si="24"/>
        <v>868</v>
      </c>
      <c r="L111" s="34">
        <f t="shared" si="25"/>
        <v>700.84200999999996</v>
      </c>
      <c r="M111" s="115">
        <f t="shared" si="16"/>
        <v>0.80742167050691238</v>
      </c>
      <c r="N111" s="37"/>
    </row>
    <row r="112" spans="1:14" s="130" customFormat="1" ht="22.5" customHeight="1" x14ac:dyDescent="0.25">
      <c r="A112" s="146" t="s">
        <v>143</v>
      </c>
      <c r="B112" s="142" t="s">
        <v>144</v>
      </c>
      <c r="C112" s="34">
        <v>10</v>
      </c>
      <c r="D112" s="81">
        <v>7.5</v>
      </c>
      <c r="E112" s="34">
        <v>0.17</v>
      </c>
      <c r="F112" s="115">
        <f t="shared" si="17"/>
        <v>1.7000000000000001E-2</v>
      </c>
      <c r="G112" s="581">
        <f t="shared" si="18"/>
        <v>2.2666666666666668E-2</v>
      </c>
      <c r="H112" s="117"/>
      <c r="I112" s="117"/>
      <c r="J112" s="115"/>
      <c r="K112" s="34">
        <f t="shared" si="24"/>
        <v>10</v>
      </c>
      <c r="L112" s="34">
        <f t="shared" si="25"/>
        <v>0.17</v>
      </c>
      <c r="M112" s="115">
        <f t="shared" si="16"/>
        <v>1.7000000000000001E-2</v>
      </c>
      <c r="N112" s="37"/>
    </row>
    <row r="113" spans="1:15" s="130" customFormat="1" ht="29.4" customHeight="1" x14ac:dyDescent="0.25">
      <c r="A113" s="140" t="s">
        <v>145</v>
      </c>
      <c r="B113" s="142" t="s">
        <v>146</v>
      </c>
      <c r="C113" s="34">
        <v>160</v>
      </c>
      <c r="D113" s="80">
        <v>126.9</v>
      </c>
      <c r="E113" s="34">
        <v>87.884169999999997</v>
      </c>
      <c r="F113" s="115">
        <f t="shared" si="17"/>
        <v>0.54927606249999994</v>
      </c>
      <c r="G113" s="581">
        <f t="shared" si="18"/>
        <v>0.69254665090622536</v>
      </c>
      <c r="H113" s="117"/>
      <c r="I113" s="117"/>
      <c r="J113" s="115"/>
      <c r="K113" s="34">
        <f t="shared" si="24"/>
        <v>160</v>
      </c>
      <c r="L113" s="34">
        <f t="shared" si="25"/>
        <v>87.884169999999997</v>
      </c>
      <c r="M113" s="115">
        <f t="shared" si="16"/>
        <v>0.54927606249999994</v>
      </c>
      <c r="N113" s="37"/>
    </row>
    <row r="114" spans="1:15" s="32" customFormat="1" ht="29.25" hidden="1" customHeight="1" x14ac:dyDescent="0.25">
      <c r="A114" s="739" t="s">
        <v>147</v>
      </c>
      <c r="B114" s="740">
        <v>23000000</v>
      </c>
      <c r="C114" s="147">
        <f>C115+C116</f>
        <v>0</v>
      </c>
      <c r="D114" s="147"/>
      <c r="E114" s="147">
        <f>E115+E116</f>
        <v>0</v>
      </c>
      <c r="F114" s="504" t="str">
        <f t="shared" si="17"/>
        <v/>
      </c>
      <c r="G114" s="148" t="str">
        <f t="shared" si="18"/>
        <v/>
      </c>
      <c r="H114" s="147">
        <f>H115+H116</f>
        <v>0</v>
      </c>
      <c r="I114" s="147">
        <f>I115+I116</f>
        <v>0</v>
      </c>
      <c r="J114" s="741" t="str">
        <f t="shared" si="20"/>
        <v/>
      </c>
      <c r="K114" s="742" t="e">
        <f>#N/A</f>
        <v>#N/A</v>
      </c>
      <c r="L114" s="742" t="e">
        <f>#N/A</f>
        <v>#N/A</v>
      </c>
      <c r="M114" s="741" t="str">
        <f t="shared" si="16"/>
        <v/>
      </c>
      <c r="N114" s="26" t="e">
        <f>#N/A</f>
        <v>#N/A</v>
      </c>
    </row>
    <row r="115" spans="1:15" ht="24.75" hidden="1" customHeight="1" x14ac:dyDescent="0.25">
      <c r="A115" s="143" t="s">
        <v>148</v>
      </c>
      <c r="B115" s="59">
        <v>23010000</v>
      </c>
      <c r="C115" s="86"/>
      <c r="D115" s="86"/>
      <c r="E115" s="86"/>
      <c r="F115" s="63" t="str">
        <f t="shared" si="17"/>
        <v/>
      </c>
      <c r="G115" s="63" t="str">
        <f t="shared" si="18"/>
        <v/>
      </c>
      <c r="H115" s="86"/>
      <c r="I115" s="86"/>
      <c r="J115" s="63" t="str">
        <f t="shared" si="20"/>
        <v/>
      </c>
      <c r="K115" s="84" t="e">
        <f>#N/A</f>
        <v>#N/A</v>
      </c>
      <c r="L115" s="84" t="e">
        <f>#N/A</f>
        <v>#N/A</v>
      </c>
      <c r="M115" s="63" t="str">
        <f t="shared" si="16"/>
        <v/>
      </c>
      <c r="N115" s="37" t="e">
        <f>#N/A</f>
        <v>#N/A</v>
      </c>
    </row>
    <row r="116" spans="1:15" ht="24" hidden="1" customHeight="1" x14ac:dyDescent="0.25">
      <c r="A116" s="640" t="s">
        <v>149</v>
      </c>
      <c r="B116" s="634">
        <v>23030000</v>
      </c>
      <c r="C116" s="101"/>
      <c r="D116" s="101"/>
      <c r="E116" s="101"/>
      <c r="F116" s="635" t="str">
        <f t="shared" si="17"/>
        <v/>
      </c>
      <c r="G116" s="87" t="str">
        <f t="shared" si="18"/>
        <v/>
      </c>
      <c r="H116" s="101"/>
      <c r="I116" s="101"/>
      <c r="J116" s="499" t="str">
        <f t="shared" si="20"/>
        <v/>
      </c>
      <c r="K116" s="216"/>
      <c r="L116" s="216"/>
      <c r="M116" s="499" t="str">
        <f t="shared" si="16"/>
        <v/>
      </c>
      <c r="N116" s="37" t="e">
        <f>#N/A</f>
        <v>#N/A</v>
      </c>
    </row>
    <row r="117" spans="1:15" s="32" customFormat="1" ht="21.75" customHeight="1" x14ac:dyDescent="0.25">
      <c r="A117" s="139" t="s">
        <v>150</v>
      </c>
      <c r="B117" s="29">
        <v>24000000</v>
      </c>
      <c r="C117" s="30">
        <f>SUM(C118,C119,C122,C123)</f>
        <v>23870</v>
      </c>
      <c r="D117" s="578">
        <f>SUM(D118,D119,D122,D123)</f>
        <v>17534</v>
      </c>
      <c r="E117" s="30">
        <f>SUM(E118,E119,E122,E123)</f>
        <v>26885.918170000001</v>
      </c>
      <c r="F117" s="31">
        <f t="shared" si="17"/>
        <v>1.1263476401340595</v>
      </c>
      <c r="G117" s="580">
        <f t="shared" si="18"/>
        <v>1.5333590834949242</v>
      </c>
      <c r="H117" s="30">
        <f>SUM(H118,H119,H123)</f>
        <v>599</v>
      </c>
      <c r="I117" s="30">
        <f>SUM(I118,I119,I123,I127)</f>
        <v>-2903.2628000000004</v>
      </c>
      <c r="J117" s="31">
        <f t="shared" si="20"/>
        <v>-4.8468494156928221</v>
      </c>
      <c r="K117" s="30">
        <f>SUM(C117,H117)</f>
        <v>24469</v>
      </c>
      <c r="L117" s="30">
        <f>SUM(I117,E117)</f>
        <v>23982.65537</v>
      </c>
      <c r="M117" s="31">
        <f t="shared" si="16"/>
        <v>0.98012404961379707</v>
      </c>
      <c r="N117" s="26" t="e">
        <f>#N/A</f>
        <v>#N/A</v>
      </c>
    </row>
    <row r="118" spans="1:15" ht="24" hidden="1" customHeight="1" x14ac:dyDescent="0.25">
      <c r="A118" s="743" t="s">
        <v>151</v>
      </c>
      <c r="B118" s="720">
        <v>24030000</v>
      </c>
      <c r="C118" s="149">
        <v>0</v>
      </c>
      <c r="D118" s="150">
        <v>0</v>
      </c>
      <c r="E118" s="149">
        <v>0</v>
      </c>
      <c r="F118" s="744" t="str">
        <f t="shared" si="17"/>
        <v/>
      </c>
      <c r="G118" s="152" t="str">
        <f t="shared" si="18"/>
        <v/>
      </c>
      <c r="H118" s="699"/>
      <c r="I118" s="699"/>
      <c r="J118" s="744" t="str">
        <f t="shared" si="20"/>
        <v/>
      </c>
      <c r="K118" s="730">
        <f>SUM(C118,H118)</f>
        <v>0</v>
      </c>
      <c r="L118" s="730">
        <f>SUM(I118,E118)</f>
        <v>0</v>
      </c>
      <c r="M118" s="745" t="str">
        <f t="shared" si="16"/>
        <v/>
      </c>
      <c r="N118" s="37" t="e">
        <f>#N/A</f>
        <v>#N/A</v>
      </c>
    </row>
    <row r="119" spans="1:15" s="130" customFormat="1" ht="21" customHeight="1" x14ac:dyDescent="0.25">
      <c r="A119" s="139" t="s">
        <v>111</v>
      </c>
      <c r="B119" s="29">
        <v>24060000</v>
      </c>
      <c r="C119" s="30">
        <f>C120+C121</f>
        <v>23870</v>
      </c>
      <c r="D119" s="585">
        <f t="shared" ref="D119:E119" si="27">D120+D121</f>
        <v>17534</v>
      </c>
      <c r="E119" s="30">
        <f t="shared" si="27"/>
        <v>26885.918170000001</v>
      </c>
      <c r="F119" s="31">
        <f t="shared" si="17"/>
        <v>1.1263476401340595</v>
      </c>
      <c r="G119" s="581">
        <f t="shared" si="18"/>
        <v>1.5333590834949242</v>
      </c>
      <c r="H119" s="30">
        <v>400</v>
      </c>
      <c r="I119" s="30">
        <v>316.73426000000001</v>
      </c>
      <c r="J119" s="31">
        <f t="shared" si="20"/>
        <v>0.79183565</v>
      </c>
      <c r="K119" s="30">
        <f>SUM(C119,H119)</f>
        <v>24270</v>
      </c>
      <c r="L119" s="30">
        <f>SUM(I119,E119)-0.01</f>
        <v>27202.642430000004</v>
      </c>
      <c r="M119" s="31">
        <f t="shared" si="16"/>
        <v>1.1208340515039144</v>
      </c>
      <c r="N119" s="37" t="e">
        <f>#N/A</f>
        <v>#N/A</v>
      </c>
    </row>
    <row r="120" spans="1:15" s="130" customFormat="1" ht="13.8" x14ac:dyDescent="0.25">
      <c r="A120" s="154" t="s">
        <v>152</v>
      </c>
      <c r="B120" s="142" t="s">
        <v>153</v>
      </c>
      <c r="C120" s="34">
        <v>12000</v>
      </c>
      <c r="D120" s="80">
        <v>9000</v>
      </c>
      <c r="E120" s="34">
        <v>10416.237160000001</v>
      </c>
      <c r="F120" s="31">
        <f t="shared" si="17"/>
        <v>0.86801976333333342</v>
      </c>
      <c r="G120" s="581">
        <f t="shared" si="18"/>
        <v>1.1573596844444445</v>
      </c>
      <c r="H120" s="34"/>
      <c r="I120" s="34"/>
      <c r="J120" s="115" t="str">
        <f t="shared" si="20"/>
        <v/>
      </c>
      <c r="K120" s="34">
        <f>SUM(C120,H120)</f>
        <v>12000</v>
      </c>
      <c r="L120" s="34">
        <f>SUM(I120,E120)-0.01</f>
        <v>10416.22716</v>
      </c>
      <c r="M120" s="115">
        <f t="shared" si="16"/>
        <v>0.86801893000000008</v>
      </c>
      <c r="N120" s="37"/>
    </row>
    <row r="121" spans="1:15" s="130" customFormat="1" ht="97.2" customHeight="1" x14ac:dyDescent="0.25">
      <c r="A121" s="140" t="s">
        <v>154</v>
      </c>
      <c r="B121" s="142" t="s">
        <v>155</v>
      </c>
      <c r="C121" s="34">
        <v>11870</v>
      </c>
      <c r="D121" s="80">
        <v>8534</v>
      </c>
      <c r="E121" s="34">
        <v>16469.68101</v>
      </c>
      <c r="F121" s="115">
        <f t="shared" si="17"/>
        <v>1.3875047186183656</v>
      </c>
      <c r="G121" s="581">
        <f t="shared" si="18"/>
        <v>1.9298899707054136</v>
      </c>
      <c r="H121" s="34"/>
      <c r="I121" s="34"/>
      <c r="J121" s="115"/>
      <c r="K121" s="34"/>
      <c r="L121" s="34"/>
      <c r="M121" s="115"/>
      <c r="N121" s="37"/>
    </row>
    <row r="122" spans="1:15" ht="26.25" hidden="1" customHeight="1" x14ac:dyDescent="0.25">
      <c r="A122" s="643" t="s">
        <v>156</v>
      </c>
      <c r="B122" s="644">
        <v>24080000</v>
      </c>
      <c r="C122" s="156"/>
      <c r="D122" s="156"/>
      <c r="E122" s="156"/>
      <c r="F122" s="746" t="str">
        <f t="shared" si="17"/>
        <v/>
      </c>
      <c r="G122" s="87" t="str">
        <f t="shared" si="18"/>
        <v/>
      </c>
      <c r="H122" s="8">
        <v>0</v>
      </c>
      <c r="I122" s="8">
        <v>0</v>
      </c>
      <c r="J122" s="645" t="str">
        <f t="shared" si="20"/>
        <v/>
      </c>
      <c r="K122" s="646" t="e">
        <f>#N/A</f>
        <v>#N/A</v>
      </c>
      <c r="L122" s="646" t="e">
        <f>#N/A</f>
        <v>#N/A</v>
      </c>
      <c r="M122" s="645" t="str">
        <f t="shared" si="16"/>
        <v/>
      </c>
      <c r="N122" s="37" t="e">
        <f>#N/A</f>
        <v>#N/A</v>
      </c>
    </row>
    <row r="123" spans="1:15" s="130" customFormat="1" ht="22.5" customHeight="1" x14ac:dyDescent="0.25">
      <c r="A123" s="139" t="s">
        <v>157</v>
      </c>
      <c r="B123" s="29">
        <v>24110000</v>
      </c>
      <c r="C123" s="117"/>
      <c r="D123" s="586"/>
      <c r="E123" s="117"/>
      <c r="F123" s="31" t="str">
        <f t="shared" si="17"/>
        <v/>
      </c>
      <c r="G123" s="580" t="str">
        <f t="shared" si="18"/>
        <v/>
      </c>
      <c r="H123" s="30">
        <f>H124+H125+H126</f>
        <v>199</v>
      </c>
      <c r="I123" s="30">
        <f>I124+I125+I126</f>
        <v>228.30466000000001</v>
      </c>
      <c r="J123" s="31">
        <f t="shared" si="20"/>
        <v>1.1472595979899498</v>
      </c>
      <c r="K123" s="30">
        <f t="shared" ref="K123:K144" si="28">SUM(C123,H123)</f>
        <v>199</v>
      </c>
      <c r="L123" s="30">
        <f t="shared" ref="L123:L127" si="29">SUM(I123,E123)-0.01</f>
        <v>228.29466000000002</v>
      </c>
      <c r="M123" s="31">
        <f t="shared" si="16"/>
        <v>1.1472093467336684</v>
      </c>
      <c r="N123" s="37" t="e">
        <f>#N/A</f>
        <v>#N/A</v>
      </c>
    </row>
    <row r="124" spans="1:15" s="130" customFormat="1" ht="31.2" customHeight="1" x14ac:dyDescent="0.25">
      <c r="A124" s="140" t="s">
        <v>158</v>
      </c>
      <c r="B124" s="142" t="s">
        <v>159</v>
      </c>
      <c r="C124" s="117"/>
      <c r="D124" s="586"/>
      <c r="E124" s="117"/>
      <c r="F124" s="31" t="str">
        <f t="shared" si="17"/>
        <v/>
      </c>
      <c r="G124" s="580"/>
      <c r="H124" s="34">
        <v>24</v>
      </c>
      <c r="I124" s="34">
        <v>22</v>
      </c>
      <c r="J124" s="115">
        <f t="shared" si="20"/>
        <v>0.91666666666666663</v>
      </c>
      <c r="K124" s="34">
        <f t="shared" si="28"/>
        <v>24</v>
      </c>
      <c r="L124" s="34">
        <f t="shared" si="29"/>
        <v>21.99</v>
      </c>
      <c r="M124" s="115">
        <f t="shared" si="16"/>
        <v>0.9162499999999999</v>
      </c>
      <c r="N124" s="37"/>
    </row>
    <row r="125" spans="1:15" s="130" customFormat="1" ht="51.6" customHeight="1" x14ac:dyDescent="0.25">
      <c r="A125" s="140" t="s">
        <v>160</v>
      </c>
      <c r="B125" s="142" t="s">
        <v>161</v>
      </c>
      <c r="C125" s="117"/>
      <c r="D125" s="586"/>
      <c r="E125" s="117"/>
      <c r="F125" s="31" t="str">
        <f t="shared" si="17"/>
        <v/>
      </c>
      <c r="G125" s="580"/>
      <c r="H125" s="34">
        <v>55</v>
      </c>
      <c r="I125" s="34">
        <v>56.727370000000001</v>
      </c>
      <c r="J125" s="115">
        <f t="shared" si="20"/>
        <v>1.0314067272727272</v>
      </c>
      <c r="K125" s="34">
        <f t="shared" si="28"/>
        <v>55</v>
      </c>
      <c r="L125" s="34">
        <f t="shared" si="29"/>
        <v>56.717370000000003</v>
      </c>
      <c r="M125" s="115">
        <f t="shared" si="16"/>
        <v>1.0312249090909091</v>
      </c>
      <c r="N125" s="37"/>
    </row>
    <row r="126" spans="1:15" s="130" customFormat="1" ht="79.2" x14ac:dyDescent="0.25">
      <c r="A126" s="140" t="s">
        <v>162</v>
      </c>
      <c r="B126" s="142" t="s">
        <v>163</v>
      </c>
      <c r="C126" s="117"/>
      <c r="D126" s="586"/>
      <c r="E126" s="117"/>
      <c r="F126" s="31" t="str">
        <f t="shared" si="17"/>
        <v/>
      </c>
      <c r="G126" s="580"/>
      <c r="H126" s="34">
        <v>120</v>
      </c>
      <c r="I126" s="34">
        <v>149.57729</v>
      </c>
      <c r="J126" s="115">
        <f t="shared" si="20"/>
        <v>1.2464774166666668</v>
      </c>
      <c r="K126" s="34">
        <f t="shared" si="28"/>
        <v>120</v>
      </c>
      <c r="L126" s="34">
        <f t="shared" si="29"/>
        <v>149.56729000000001</v>
      </c>
      <c r="M126" s="115">
        <f t="shared" si="16"/>
        <v>1.2463940833333333</v>
      </c>
      <c r="N126" s="37"/>
    </row>
    <row r="127" spans="1:15" s="130" customFormat="1" ht="24" customHeight="1" x14ac:dyDescent="0.25">
      <c r="A127" s="140" t="s">
        <v>164</v>
      </c>
      <c r="B127" s="129">
        <v>24170000</v>
      </c>
      <c r="C127" s="117"/>
      <c r="D127" s="586"/>
      <c r="E127" s="117"/>
      <c r="F127" s="31" t="str">
        <f t="shared" si="17"/>
        <v/>
      </c>
      <c r="G127" s="580" t="str">
        <f t="shared" si="18"/>
        <v/>
      </c>
      <c r="H127" s="35">
        <v>0</v>
      </c>
      <c r="I127" s="35">
        <v>-3448.3017200000004</v>
      </c>
      <c r="J127" s="115" t="str">
        <f t="shared" si="20"/>
        <v/>
      </c>
      <c r="K127" s="34">
        <f t="shared" si="28"/>
        <v>0</v>
      </c>
      <c r="L127" s="34">
        <f t="shared" si="29"/>
        <v>-3448.3117200000006</v>
      </c>
      <c r="M127" s="115" t="str">
        <f t="shared" si="16"/>
        <v/>
      </c>
      <c r="N127" s="37" t="e">
        <f>#N/A</f>
        <v>#N/A</v>
      </c>
    </row>
    <row r="128" spans="1:15" s="130" customFormat="1" ht="25.5" customHeight="1" x14ac:dyDescent="0.25">
      <c r="A128" s="157" t="s">
        <v>165</v>
      </c>
      <c r="B128" s="158">
        <v>25000000</v>
      </c>
      <c r="C128" s="128"/>
      <c r="D128" s="586"/>
      <c r="E128" s="128"/>
      <c r="F128" s="31" t="str">
        <f t="shared" si="17"/>
        <v/>
      </c>
      <c r="G128" s="580" t="str">
        <f t="shared" si="18"/>
        <v/>
      </c>
      <c r="H128" s="128">
        <f>H129+H134</f>
        <v>145456.71575999999</v>
      </c>
      <c r="I128" s="128">
        <f>I129+I134</f>
        <v>96561.540299999993</v>
      </c>
      <c r="J128" s="31">
        <f t="shared" si="20"/>
        <v>0.66385068434601646</v>
      </c>
      <c r="K128" s="30">
        <f t="shared" si="28"/>
        <v>145456.71575999999</v>
      </c>
      <c r="L128" s="30">
        <f t="shared" ref="L128:L144" si="30">SUM(I128,E128)</f>
        <v>96561.540299999993</v>
      </c>
      <c r="M128" s="31">
        <f t="shared" si="16"/>
        <v>0.66385068434601646</v>
      </c>
      <c r="N128" s="159" t="e">
        <f>#N/A</f>
        <v>#N/A</v>
      </c>
      <c r="O128" s="160"/>
    </row>
    <row r="129" spans="1:16" s="164" customFormat="1" ht="28.2" customHeight="1" x14ac:dyDescent="0.25">
      <c r="A129" s="161" t="s">
        <v>166</v>
      </c>
      <c r="B129" s="162">
        <v>25010000</v>
      </c>
      <c r="C129" s="117"/>
      <c r="D129" s="586"/>
      <c r="E129" s="117"/>
      <c r="F129" s="31" t="str">
        <f t="shared" si="17"/>
        <v/>
      </c>
      <c r="G129" s="580" t="str">
        <f t="shared" si="18"/>
        <v/>
      </c>
      <c r="H129" s="34">
        <v>117833.82614</v>
      </c>
      <c r="I129" s="34">
        <v>68725.36890999999</v>
      </c>
      <c r="J129" s="115">
        <f t="shared" si="20"/>
        <v>0.58323972972197669</v>
      </c>
      <c r="K129" s="34">
        <f t="shared" si="28"/>
        <v>117833.82614</v>
      </c>
      <c r="L129" s="34">
        <f t="shared" si="30"/>
        <v>68725.36890999999</v>
      </c>
      <c r="M129" s="115">
        <f t="shared" si="16"/>
        <v>0.58323972972197669</v>
      </c>
      <c r="N129" s="163" t="e">
        <f>#N/A</f>
        <v>#N/A</v>
      </c>
      <c r="P129" s="165"/>
    </row>
    <row r="130" spans="1:16" s="130" customFormat="1" ht="28.2" customHeight="1" x14ac:dyDescent="0.25">
      <c r="A130" s="161" t="s">
        <v>167</v>
      </c>
      <c r="B130" s="166" t="s">
        <v>168</v>
      </c>
      <c r="C130" s="117"/>
      <c r="D130" s="586"/>
      <c r="E130" s="117"/>
      <c r="F130" s="31" t="str">
        <f t="shared" si="17"/>
        <v/>
      </c>
      <c r="G130" s="580"/>
      <c r="H130" s="34">
        <v>97571.914999999994</v>
      </c>
      <c r="I130" s="34">
        <v>61511.606119999997</v>
      </c>
      <c r="J130" s="115">
        <f>IFERROR(I130/H130,"")</f>
        <v>0.63042327415629795</v>
      </c>
      <c r="K130" s="34">
        <f t="shared" si="28"/>
        <v>97571.914999999994</v>
      </c>
      <c r="L130" s="34">
        <f t="shared" si="30"/>
        <v>61511.606119999997</v>
      </c>
      <c r="M130" s="115">
        <f t="shared" si="16"/>
        <v>0.63042327415629795</v>
      </c>
      <c r="N130" s="37"/>
      <c r="P130" s="32"/>
    </row>
    <row r="131" spans="1:16" s="130" customFormat="1" ht="26.4" x14ac:dyDescent="0.25">
      <c r="A131" s="161" t="s">
        <v>169</v>
      </c>
      <c r="B131" s="162" t="s">
        <v>170</v>
      </c>
      <c r="C131" s="117"/>
      <c r="D131" s="586"/>
      <c r="E131" s="117"/>
      <c r="F131" s="31" t="str">
        <f t="shared" si="17"/>
        <v/>
      </c>
      <c r="G131" s="580"/>
      <c r="H131" s="418">
        <v>9248.9259999999995</v>
      </c>
      <c r="I131" s="34">
        <v>3248.4474599999999</v>
      </c>
      <c r="J131" s="115">
        <f t="shared" si="20"/>
        <v>0.35122428917692716</v>
      </c>
      <c r="K131" s="34">
        <f t="shared" si="28"/>
        <v>9248.9259999999995</v>
      </c>
      <c r="L131" s="34">
        <f t="shared" si="30"/>
        <v>3248.4474599999999</v>
      </c>
      <c r="M131" s="115">
        <f t="shared" si="16"/>
        <v>0.35122428917692716</v>
      </c>
      <c r="N131" s="37"/>
      <c r="P131" s="32"/>
    </row>
    <row r="132" spans="1:16" s="130" customFormat="1" ht="37.799999999999997" customHeight="1" x14ac:dyDescent="0.25">
      <c r="A132" s="161" t="s">
        <v>171</v>
      </c>
      <c r="B132" s="166" t="s">
        <v>172</v>
      </c>
      <c r="C132" s="117"/>
      <c r="D132" s="586"/>
      <c r="E132" s="117"/>
      <c r="F132" s="31" t="str">
        <f t="shared" si="17"/>
        <v/>
      </c>
      <c r="G132" s="580"/>
      <c r="H132" s="34">
        <v>11675.227999999999</v>
      </c>
      <c r="I132" s="34">
        <v>3797.4679999999998</v>
      </c>
      <c r="J132" s="115">
        <f t="shared" si="20"/>
        <v>0.32525857310880785</v>
      </c>
      <c r="K132" s="34">
        <f t="shared" si="28"/>
        <v>11675.227999999999</v>
      </c>
      <c r="L132" s="34">
        <f t="shared" si="30"/>
        <v>3797.4679999999998</v>
      </c>
      <c r="M132" s="115">
        <f t="shared" si="16"/>
        <v>0.32525857310880785</v>
      </c>
      <c r="N132" s="37"/>
      <c r="P132" s="32"/>
    </row>
    <row r="133" spans="1:16" s="130" customFormat="1" ht="28.2" customHeight="1" x14ac:dyDescent="0.25">
      <c r="A133" s="161" t="s">
        <v>173</v>
      </c>
      <c r="B133" s="166" t="s">
        <v>174</v>
      </c>
      <c r="C133" s="117"/>
      <c r="D133" s="586"/>
      <c r="E133" s="117"/>
      <c r="F133" s="31" t="str">
        <f t="shared" si="17"/>
        <v/>
      </c>
      <c r="G133" s="580"/>
      <c r="H133" s="34">
        <v>177.82300000000001</v>
      </c>
      <c r="I133" s="34">
        <v>167.84733</v>
      </c>
      <c r="J133" s="115">
        <f t="shared" si="20"/>
        <v>0.94390112640097168</v>
      </c>
      <c r="K133" s="34">
        <f t="shared" si="28"/>
        <v>177.82300000000001</v>
      </c>
      <c r="L133" s="34">
        <f t="shared" si="30"/>
        <v>167.84733</v>
      </c>
      <c r="M133" s="115">
        <f t="shared" si="16"/>
        <v>0.94390112640097168</v>
      </c>
      <c r="N133" s="37"/>
      <c r="P133" s="32"/>
    </row>
    <row r="134" spans="1:16" s="164" customFormat="1" ht="13.8" x14ac:dyDescent="0.25">
      <c r="A134" s="167" t="s">
        <v>175</v>
      </c>
      <c r="B134" s="158">
        <v>25020000</v>
      </c>
      <c r="C134" s="117"/>
      <c r="D134" s="586"/>
      <c r="E134" s="117"/>
      <c r="F134" s="31" t="str">
        <f t="shared" si="17"/>
        <v/>
      </c>
      <c r="G134" s="580" t="str">
        <f t="shared" si="18"/>
        <v/>
      </c>
      <c r="H134" s="30">
        <f>H135+H136</f>
        <v>27622.889620000002</v>
      </c>
      <c r="I134" s="30">
        <f>I135+I136</f>
        <v>27836.171390000003</v>
      </c>
      <c r="J134" s="31">
        <f t="shared" si="20"/>
        <v>1.0077211969107525</v>
      </c>
      <c r="K134" s="30">
        <f t="shared" si="28"/>
        <v>27622.889620000002</v>
      </c>
      <c r="L134" s="30">
        <f t="shared" si="30"/>
        <v>27836.171390000003</v>
      </c>
      <c r="M134" s="31">
        <f t="shared" si="16"/>
        <v>1.0077211969107525</v>
      </c>
      <c r="N134" s="163" t="e">
        <f>#N/A</f>
        <v>#N/A</v>
      </c>
      <c r="P134" s="165"/>
    </row>
    <row r="135" spans="1:16" s="130" customFormat="1" ht="13.8" x14ac:dyDescent="0.25">
      <c r="A135" s="161" t="s">
        <v>176</v>
      </c>
      <c r="B135" s="166" t="s">
        <v>177</v>
      </c>
      <c r="C135" s="117"/>
      <c r="D135" s="586"/>
      <c r="E135" s="117"/>
      <c r="F135" s="31" t="str">
        <f t="shared" si="17"/>
        <v/>
      </c>
      <c r="G135" s="580"/>
      <c r="H135" s="34"/>
      <c r="I135" s="34">
        <v>21939.496850000003</v>
      </c>
      <c r="J135" s="115" t="str">
        <f t="shared" si="20"/>
        <v/>
      </c>
      <c r="K135" s="34">
        <f t="shared" si="28"/>
        <v>0</v>
      </c>
      <c r="L135" s="34">
        <f t="shared" si="30"/>
        <v>21939.496850000003</v>
      </c>
      <c r="M135" s="115" t="str">
        <f t="shared" si="16"/>
        <v/>
      </c>
      <c r="N135" s="37"/>
      <c r="P135" s="32"/>
    </row>
    <row r="136" spans="1:16" s="130" customFormat="1" ht="75" customHeight="1" x14ac:dyDescent="0.25">
      <c r="A136" s="161" t="s">
        <v>178</v>
      </c>
      <c r="B136" s="162">
        <v>25020200</v>
      </c>
      <c r="C136" s="117"/>
      <c r="D136" s="586"/>
      <c r="E136" s="117"/>
      <c r="F136" s="31" t="str">
        <f t="shared" si="17"/>
        <v/>
      </c>
      <c r="G136" s="580"/>
      <c r="H136" s="34">
        <v>27622.889620000002</v>
      </c>
      <c r="I136" s="34">
        <v>5896.67454</v>
      </c>
      <c r="J136" s="115">
        <f t="shared" si="20"/>
        <v>0.21347058983034808</v>
      </c>
      <c r="K136" s="34">
        <f t="shared" si="28"/>
        <v>27622.889620000002</v>
      </c>
      <c r="L136" s="34">
        <f t="shared" si="30"/>
        <v>5896.67454</v>
      </c>
      <c r="M136" s="115">
        <f t="shared" si="16"/>
        <v>0.21347058983034808</v>
      </c>
      <c r="N136" s="37"/>
      <c r="P136" s="32"/>
    </row>
    <row r="137" spans="1:16" s="171" customFormat="1" ht="13.8" x14ac:dyDescent="0.25">
      <c r="A137" s="168" t="s">
        <v>179</v>
      </c>
      <c r="B137" s="169">
        <v>30000000</v>
      </c>
      <c r="C137" s="75">
        <f>SUM(C141+C139+C140+C142)</f>
        <v>16</v>
      </c>
      <c r="D137" s="582">
        <f>SUM(D141+D139+D140+D142)</f>
        <v>6.5</v>
      </c>
      <c r="E137" s="75">
        <f>E139+E140</f>
        <v>0.62055000000000005</v>
      </c>
      <c r="F137" s="31">
        <f t="shared" si="17"/>
        <v>3.8784375000000003E-2</v>
      </c>
      <c r="G137" s="587">
        <f t="shared" si="18"/>
        <v>9.5469230769230778E-2</v>
      </c>
      <c r="H137" s="75">
        <f>SUM(H139+H141+H142)</f>
        <v>254693</v>
      </c>
      <c r="I137" s="75">
        <f>SUM(I139+I141+I142)</f>
        <v>53042.75189</v>
      </c>
      <c r="J137" s="31">
        <f t="shared" si="20"/>
        <v>0.20826152226405908</v>
      </c>
      <c r="K137" s="30">
        <f t="shared" si="28"/>
        <v>254709</v>
      </c>
      <c r="L137" s="30">
        <f t="shared" si="30"/>
        <v>53043.372439999999</v>
      </c>
      <c r="M137" s="31">
        <f t="shared" si="16"/>
        <v>0.20825087625486338</v>
      </c>
      <c r="N137" s="37" t="e">
        <f>#N/A</f>
        <v>#N/A</v>
      </c>
    </row>
    <row r="138" spans="1:16" s="171" customFormat="1" ht="13.8" x14ac:dyDescent="0.25">
      <c r="A138" s="168" t="s">
        <v>180</v>
      </c>
      <c r="B138" s="169" t="s">
        <v>181</v>
      </c>
      <c r="C138" s="75">
        <v>16</v>
      </c>
      <c r="D138" s="582">
        <v>6.5</v>
      </c>
      <c r="E138" s="75">
        <v>0.62054999999999993</v>
      </c>
      <c r="F138" s="31"/>
      <c r="G138" s="587"/>
      <c r="H138" s="75">
        <v>105053</v>
      </c>
      <c r="I138" s="75">
        <v>26830.505789999999</v>
      </c>
      <c r="J138" s="31">
        <f t="shared" si="20"/>
        <v>0.25539971052706728</v>
      </c>
      <c r="K138" s="30">
        <f t="shared" si="28"/>
        <v>105069</v>
      </c>
      <c r="L138" s="30">
        <f t="shared" si="30"/>
        <v>26831.126339999999</v>
      </c>
      <c r="M138" s="31">
        <f t="shared" si="16"/>
        <v>0.25536672415269962</v>
      </c>
      <c r="N138" s="37"/>
    </row>
    <row r="139" spans="1:16" ht="63.6" customHeight="1" x14ac:dyDescent="0.25">
      <c r="A139" s="172" t="s">
        <v>182</v>
      </c>
      <c r="B139" s="46">
        <v>31010000</v>
      </c>
      <c r="C139" s="34">
        <v>1</v>
      </c>
      <c r="D139" s="80">
        <v>0.5</v>
      </c>
      <c r="E139" s="34">
        <v>0</v>
      </c>
      <c r="F139" s="115">
        <f t="shared" si="17"/>
        <v>0</v>
      </c>
      <c r="G139" s="583">
        <f t="shared" si="18"/>
        <v>0</v>
      </c>
      <c r="H139" s="70"/>
      <c r="I139" s="70"/>
      <c r="J139" s="115" t="str">
        <f t="shared" si="20"/>
        <v/>
      </c>
      <c r="K139" s="34">
        <f t="shared" si="28"/>
        <v>1</v>
      </c>
      <c r="L139" s="34">
        <f t="shared" si="30"/>
        <v>0</v>
      </c>
      <c r="M139" s="31">
        <f t="shared" si="16"/>
        <v>0</v>
      </c>
      <c r="N139" s="37" t="e">
        <f>#N/A</f>
        <v>#N/A</v>
      </c>
    </row>
    <row r="140" spans="1:16" s="171" customFormat="1" ht="36.75" customHeight="1" x14ac:dyDescent="0.25">
      <c r="A140" s="172" t="s">
        <v>183</v>
      </c>
      <c r="B140" s="46">
        <v>31020000</v>
      </c>
      <c r="C140" s="34">
        <v>15</v>
      </c>
      <c r="D140" s="80">
        <v>6</v>
      </c>
      <c r="E140" s="34">
        <v>0.62055000000000005</v>
      </c>
      <c r="F140" s="115">
        <f t="shared" si="17"/>
        <v>4.1370000000000004E-2</v>
      </c>
      <c r="G140" s="583">
        <f t="shared" si="18"/>
        <v>0.103425</v>
      </c>
      <c r="H140" s="70"/>
      <c r="I140" s="70"/>
      <c r="J140" s="115" t="str">
        <f t="shared" si="20"/>
        <v/>
      </c>
      <c r="K140" s="34">
        <f t="shared" si="28"/>
        <v>15</v>
      </c>
      <c r="L140" s="34">
        <f t="shared" si="30"/>
        <v>0.62055000000000005</v>
      </c>
      <c r="M140" s="115">
        <f t="shared" si="16"/>
        <v>4.1370000000000004E-2</v>
      </c>
      <c r="N140" s="37" t="e">
        <f>#N/A</f>
        <v>#N/A</v>
      </c>
    </row>
    <row r="141" spans="1:16" ht="26.4" x14ac:dyDescent="0.25">
      <c r="A141" s="172" t="s">
        <v>184</v>
      </c>
      <c r="B141" s="46">
        <v>31030000</v>
      </c>
      <c r="C141" s="70"/>
      <c r="D141" s="586"/>
      <c r="E141" s="70"/>
      <c r="F141" s="115" t="str">
        <f t="shared" si="17"/>
        <v/>
      </c>
      <c r="G141" s="584" t="str">
        <f t="shared" si="18"/>
        <v/>
      </c>
      <c r="H141" s="34">
        <v>105053</v>
      </c>
      <c r="I141" s="34">
        <v>35242.385479999997</v>
      </c>
      <c r="J141" s="115">
        <f t="shared" si="20"/>
        <v>0.33547243277202932</v>
      </c>
      <c r="K141" s="34">
        <f t="shared" si="28"/>
        <v>105053</v>
      </c>
      <c r="L141" s="34">
        <f t="shared" si="30"/>
        <v>35242.385479999997</v>
      </c>
      <c r="M141" s="115">
        <f t="shared" si="16"/>
        <v>0.33547243277202932</v>
      </c>
      <c r="N141" s="37" t="e">
        <f>#N/A</f>
        <v>#N/A</v>
      </c>
    </row>
    <row r="142" spans="1:16" ht="13.8" x14ac:dyDescent="0.25">
      <c r="A142" s="172" t="s">
        <v>185</v>
      </c>
      <c r="B142" s="46">
        <v>33000000</v>
      </c>
      <c r="C142" s="70">
        <f>C143</f>
        <v>0</v>
      </c>
      <c r="D142" s="586"/>
      <c r="E142" s="70">
        <f>E143</f>
        <v>0</v>
      </c>
      <c r="F142" s="115" t="str">
        <f t="shared" si="17"/>
        <v/>
      </c>
      <c r="G142" s="584" t="str">
        <f t="shared" si="18"/>
        <v/>
      </c>
      <c r="H142" s="34">
        <v>149640</v>
      </c>
      <c r="I142" s="34">
        <v>17800.366409999999</v>
      </c>
      <c r="J142" s="115">
        <f t="shared" si="20"/>
        <v>0.11895460044105853</v>
      </c>
      <c r="K142" s="34">
        <f t="shared" si="28"/>
        <v>149640</v>
      </c>
      <c r="L142" s="34">
        <f t="shared" si="30"/>
        <v>17800.366409999999</v>
      </c>
      <c r="M142" s="115">
        <f t="shared" si="16"/>
        <v>0.11895460044105853</v>
      </c>
      <c r="N142" s="37" t="e">
        <f>#N/A</f>
        <v>#N/A</v>
      </c>
    </row>
    <row r="143" spans="1:16" ht="13.8" x14ac:dyDescent="0.25">
      <c r="A143" s="172" t="s">
        <v>186</v>
      </c>
      <c r="B143" s="46">
        <v>33010000</v>
      </c>
      <c r="C143" s="70"/>
      <c r="D143" s="586"/>
      <c r="E143" s="70"/>
      <c r="F143" s="115" t="str">
        <f t="shared" si="17"/>
        <v/>
      </c>
      <c r="G143" s="584" t="str">
        <f t="shared" si="18"/>
        <v/>
      </c>
      <c r="H143" s="34">
        <v>149640</v>
      </c>
      <c r="I143" s="34">
        <v>17800.366409999999</v>
      </c>
      <c r="J143" s="115">
        <f t="shared" si="20"/>
        <v>0.11895460044105853</v>
      </c>
      <c r="K143" s="34">
        <f t="shared" si="28"/>
        <v>149640</v>
      </c>
      <c r="L143" s="34">
        <f t="shared" si="30"/>
        <v>17800.366409999999</v>
      </c>
      <c r="M143" s="115">
        <f t="shared" si="16"/>
        <v>0.11895460044105853</v>
      </c>
      <c r="N143" s="37" t="e">
        <f>#N/A</f>
        <v>#N/A</v>
      </c>
    </row>
    <row r="144" spans="1:16" s="171" customFormat="1" ht="18.75" customHeight="1" x14ac:dyDescent="0.25">
      <c r="A144" s="173" t="s">
        <v>187</v>
      </c>
      <c r="B144" s="169">
        <v>50000000</v>
      </c>
      <c r="C144" s="24">
        <f>SUM(C145,C146,C147,C149)</f>
        <v>0</v>
      </c>
      <c r="D144" s="577">
        <f>SUM(D145,D146,D147,D149)</f>
        <v>0</v>
      </c>
      <c r="E144" s="24">
        <f>SUM(E145,E146,E147,E149)</f>
        <v>0</v>
      </c>
      <c r="F144" s="115" t="str">
        <f t="shared" si="17"/>
        <v/>
      </c>
      <c r="G144" s="587" t="str">
        <f t="shared" si="18"/>
        <v/>
      </c>
      <c r="H144" s="24">
        <f>H149</f>
        <v>1100</v>
      </c>
      <c r="I144" s="24">
        <f>I149</f>
        <v>265.01751999999999</v>
      </c>
      <c r="J144" s="31">
        <f t="shared" si="20"/>
        <v>0.24092501818181816</v>
      </c>
      <c r="K144" s="34">
        <f t="shared" si="28"/>
        <v>1100</v>
      </c>
      <c r="L144" s="30">
        <f t="shared" si="30"/>
        <v>265.01751999999999</v>
      </c>
      <c r="M144" s="31">
        <f t="shared" si="16"/>
        <v>0.24092501818181816</v>
      </c>
      <c r="N144" s="37" t="e">
        <f>#N/A</f>
        <v>#N/A</v>
      </c>
    </row>
    <row r="145" spans="1:20" ht="42.75" hidden="1" customHeight="1" x14ac:dyDescent="0.25">
      <c r="A145" s="155" t="s">
        <v>188</v>
      </c>
      <c r="B145" s="144">
        <v>50080000</v>
      </c>
      <c r="C145" s="83"/>
      <c r="D145" s="83"/>
      <c r="E145" s="83"/>
      <c r="F145" s="737" t="str">
        <f t="shared" si="17"/>
        <v/>
      </c>
      <c r="G145" s="148" t="str">
        <f t="shared" si="18"/>
        <v/>
      </c>
      <c r="H145" s="83"/>
      <c r="I145" s="83"/>
      <c r="J145" s="496" t="str">
        <f t="shared" si="20"/>
        <v/>
      </c>
      <c r="K145" s="227" t="e">
        <f>#N/A</f>
        <v>#N/A</v>
      </c>
      <c r="L145" s="227" t="e">
        <f>#N/A</f>
        <v>#N/A</v>
      </c>
      <c r="M145" s="496" t="str">
        <f t="shared" si="16"/>
        <v/>
      </c>
      <c r="N145" s="37"/>
    </row>
    <row r="146" spans="1:20" ht="42.75" hidden="1" customHeight="1" x14ac:dyDescent="0.25">
      <c r="A146" s="143" t="s">
        <v>189</v>
      </c>
      <c r="B146" s="59">
        <v>50090000</v>
      </c>
      <c r="C146" s="86"/>
      <c r="D146" s="86"/>
      <c r="E146" s="86"/>
      <c r="F146" s="63" t="str">
        <f t="shared" si="17"/>
        <v/>
      </c>
      <c r="G146" s="63" t="str">
        <f t="shared" si="18"/>
        <v/>
      </c>
      <c r="H146" s="86"/>
      <c r="I146" s="86"/>
      <c r="J146" s="63" t="str">
        <f t="shared" si="20"/>
        <v/>
      </c>
      <c r="K146" s="174" t="e">
        <f>#N/A</f>
        <v>#N/A</v>
      </c>
      <c r="L146" s="174" t="e">
        <f>#N/A</f>
        <v>#N/A</v>
      </c>
      <c r="M146" s="63" t="str">
        <f t="shared" si="16"/>
        <v/>
      </c>
      <c r="N146" s="37" t="e">
        <f>#N/A</f>
        <v>#N/A</v>
      </c>
    </row>
    <row r="147" spans="1:20" ht="18.75" hidden="1" customHeight="1" x14ac:dyDescent="0.25">
      <c r="A147" s="143" t="s">
        <v>190</v>
      </c>
      <c r="B147" s="89">
        <v>50100000</v>
      </c>
      <c r="C147" s="175">
        <f>SUM(C148:C149)</f>
        <v>0</v>
      </c>
      <c r="D147" s="86">
        <f>SUM(D148:D149)</f>
        <v>0</v>
      </c>
      <c r="E147" s="176">
        <f>SUM(E148:E149)</f>
        <v>0</v>
      </c>
      <c r="F147" s="177" t="str">
        <f t="shared" si="17"/>
        <v/>
      </c>
      <c r="G147" s="84" t="str">
        <f t="shared" si="18"/>
        <v/>
      </c>
      <c r="H147" s="121">
        <f>SUM(H148:H149)</f>
        <v>1100</v>
      </c>
      <c r="I147" s="121">
        <v>0</v>
      </c>
      <c r="J147" s="178">
        <f t="shared" si="20"/>
        <v>0</v>
      </c>
      <c r="K147" s="138">
        <f>SUM(C147,H147)</f>
        <v>1100</v>
      </c>
      <c r="L147" s="138">
        <f>SUM(I147,E147)</f>
        <v>0</v>
      </c>
      <c r="M147" s="179">
        <f t="shared" si="16"/>
        <v>0</v>
      </c>
      <c r="N147" s="37" t="e">
        <f>#N/A</f>
        <v>#N/A</v>
      </c>
    </row>
    <row r="148" spans="1:20" ht="42.75" hidden="1" customHeight="1" x14ac:dyDescent="0.25">
      <c r="A148" s="647" t="s">
        <v>191</v>
      </c>
      <c r="B148" s="648">
        <v>50100400</v>
      </c>
      <c r="C148" s="101"/>
      <c r="D148" s="101"/>
      <c r="E148" s="101"/>
      <c r="F148" s="499" t="str">
        <f t="shared" si="17"/>
        <v/>
      </c>
      <c r="G148" s="63" t="str">
        <f t="shared" si="18"/>
        <v/>
      </c>
      <c r="H148" s="101"/>
      <c r="I148" s="101"/>
      <c r="J148" s="572" t="str">
        <f t="shared" si="20"/>
        <v/>
      </c>
      <c r="K148" s="240">
        <f>SUM(C148,H148)</f>
        <v>0</v>
      </c>
      <c r="L148" s="240">
        <f>SUM(I148,E148)</f>
        <v>0</v>
      </c>
      <c r="M148" s="649" t="str">
        <f t="shared" si="16"/>
        <v/>
      </c>
      <c r="N148" s="37" t="e">
        <f>#N/A</f>
        <v>#N/A</v>
      </c>
    </row>
    <row r="149" spans="1:20" ht="43.2" customHeight="1" x14ac:dyDescent="0.25">
      <c r="A149" s="172" t="s">
        <v>192</v>
      </c>
      <c r="B149" s="181">
        <v>50110000</v>
      </c>
      <c r="C149" s="70"/>
      <c r="D149" s="586"/>
      <c r="E149" s="70"/>
      <c r="F149" s="115" t="str">
        <f t="shared" si="17"/>
        <v/>
      </c>
      <c r="G149" s="584" t="str">
        <f t="shared" si="18"/>
        <v/>
      </c>
      <c r="H149" s="34">
        <v>1100</v>
      </c>
      <c r="I149" s="34">
        <v>265.01751999999999</v>
      </c>
      <c r="J149" s="115">
        <f t="shared" si="20"/>
        <v>0.24092501818181816</v>
      </c>
      <c r="K149" s="34">
        <f>SUM(C149,H149)</f>
        <v>1100</v>
      </c>
      <c r="L149" s="34">
        <f>SUM(I149,E149)</f>
        <v>265.01751999999999</v>
      </c>
      <c r="M149" s="115">
        <f t="shared" si="16"/>
        <v>0.24092501818181816</v>
      </c>
      <c r="N149" s="37" t="e">
        <f>#N/A</f>
        <v>#N/A</v>
      </c>
    </row>
    <row r="150" spans="1:20" s="187" customFormat="1" ht="47.25" hidden="1" customHeight="1" x14ac:dyDescent="0.25">
      <c r="A150" s="747" t="s">
        <v>193</v>
      </c>
      <c r="B150" s="748"/>
      <c r="C150" s="182"/>
      <c r="D150" s="67"/>
      <c r="E150" s="182"/>
      <c r="F150" s="650" t="str">
        <f t="shared" si="17"/>
        <v/>
      </c>
      <c r="G150" s="93" t="str">
        <f t="shared" si="18"/>
        <v/>
      </c>
      <c r="H150" s="184">
        <v>0</v>
      </c>
      <c r="I150" s="185"/>
      <c r="J150" s="651" t="str">
        <f t="shared" si="20"/>
        <v/>
      </c>
      <c r="K150" s="222"/>
      <c r="L150" s="222"/>
      <c r="M150" s="645" t="str">
        <f t="shared" si="16"/>
        <v/>
      </c>
      <c r="N150" s="37"/>
      <c r="Q150" s="8"/>
      <c r="R150" s="8"/>
      <c r="S150" s="8"/>
      <c r="T150" s="8"/>
    </row>
    <row r="151" spans="1:20" s="193" customFormat="1" ht="24.75" customHeight="1" x14ac:dyDescent="0.3">
      <c r="A151" s="188" t="s">
        <v>194</v>
      </c>
      <c r="B151" s="189">
        <v>900101</v>
      </c>
      <c r="C151" s="563">
        <f>SUM(C11,C81,C137,C144)</f>
        <v>3736931.5</v>
      </c>
      <c r="D151" s="588">
        <f>SUM(D11,D81,D137,D144)</f>
        <v>2807344.5999999996</v>
      </c>
      <c r="E151" s="563">
        <f>SUM(E11,E81,E137,E144)</f>
        <v>2979002.7636899999</v>
      </c>
      <c r="F151" s="191">
        <f t="shared" si="17"/>
        <v>0.79717885213844564</v>
      </c>
      <c r="G151" s="589">
        <f t="shared" si="18"/>
        <v>1.0611460964535671</v>
      </c>
      <c r="H151" s="563">
        <f>SUM(H11,H81,H137,H144,H150)</f>
        <v>420848.71575999999</v>
      </c>
      <c r="I151" s="563">
        <f>SUM(I11,I81,I137,I144,I150)</f>
        <v>162440.91404</v>
      </c>
      <c r="J151" s="191">
        <f t="shared" si="20"/>
        <v>0.38598410297308877</v>
      </c>
      <c r="K151" s="563">
        <f>SUM(C151,H151)</f>
        <v>4157780.2157600001</v>
      </c>
      <c r="L151" s="563">
        <f>SUM(I151,E151)</f>
        <v>3141443.6777300001</v>
      </c>
      <c r="M151" s="191">
        <f t="shared" si="16"/>
        <v>0.75555789741420376</v>
      </c>
      <c r="N151" s="26" t="e">
        <f>#N/A</f>
        <v>#N/A</v>
      </c>
      <c r="O151" s="192"/>
    </row>
    <row r="152" spans="1:20" s="195" customFormat="1" ht="19.5" customHeight="1" x14ac:dyDescent="0.25">
      <c r="A152" s="194" t="s">
        <v>195</v>
      </c>
      <c r="B152" s="126">
        <v>40000000</v>
      </c>
      <c r="C152" s="23">
        <f>C155+C175+C172+C153</f>
        <v>810034.36099999992</v>
      </c>
      <c r="D152" s="577">
        <f>D155+D175+D172+D153</f>
        <v>525326.96600000001</v>
      </c>
      <c r="E152" s="23">
        <f>E155+E175+E172+E153</f>
        <v>633373.37300000002</v>
      </c>
      <c r="F152" s="31">
        <f t="shared" si="17"/>
        <v>0.78190926643913083</v>
      </c>
      <c r="G152" s="579">
        <f t="shared" si="18"/>
        <v>1.2056745874339907</v>
      </c>
      <c r="H152" s="23">
        <f>H155+H175+H172+H153</f>
        <v>104905.34699999999</v>
      </c>
      <c r="I152" s="23">
        <f>I155+I175+I172+I153</f>
        <v>12809.447</v>
      </c>
      <c r="J152" s="191">
        <f t="shared" si="20"/>
        <v>0.12210480558250288</v>
      </c>
      <c r="K152" s="30">
        <f>SUM(C152,H152)</f>
        <v>914939.70799999987</v>
      </c>
      <c r="L152" s="30">
        <f>SUM(I152,E152)</f>
        <v>646182.82000000007</v>
      </c>
      <c r="M152" s="31">
        <f t="shared" si="16"/>
        <v>0.70625726957737434</v>
      </c>
      <c r="N152" s="37" t="e">
        <f>#N/A</f>
        <v>#N/A</v>
      </c>
      <c r="O152" s="195">
        <v>0</v>
      </c>
    </row>
    <row r="153" spans="1:20" ht="48" hidden="1" customHeight="1" x14ac:dyDescent="0.25">
      <c r="A153" s="643" t="s">
        <v>196</v>
      </c>
      <c r="B153" s="644">
        <v>41020000</v>
      </c>
      <c r="C153" s="105">
        <f>C154</f>
        <v>54684.4</v>
      </c>
      <c r="D153" s="196">
        <f t="shared" ref="D153:E153" si="31">D154</f>
        <v>54684.4</v>
      </c>
      <c r="E153" s="105">
        <f t="shared" si="31"/>
        <v>54684.4</v>
      </c>
      <c r="F153" s="645">
        <f t="shared" si="17"/>
        <v>1</v>
      </c>
      <c r="G153" s="63">
        <f t="shared" si="18"/>
        <v>1</v>
      </c>
      <c r="H153" s="182"/>
      <c r="I153" s="182"/>
      <c r="J153" s="749" t="str">
        <f t="shared" si="20"/>
        <v/>
      </c>
      <c r="K153" s="729">
        <f t="shared" ref="K153:K154" si="32">SUM(C153,H153)</f>
        <v>54684.4</v>
      </c>
      <c r="L153" s="729">
        <f t="shared" ref="L153:L154" si="33">SUM(I153,E153)</f>
        <v>54684.4</v>
      </c>
      <c r="M153" s="645">
        <f t="shared" si="16"/>
        <v>1</v>
      </c>
      <c r="N153" s="37" t="e">
        <f>#N/A</f>
        <v>#N/A</v>
      </c>
    </row>
    <row r="154" spans="1:20" ht="71.25" customHeight="1" x14ac:dyDescent="0.25">
      <c r="A154" s="41" t="s">
        <v>197</v>
      </c>
      <c r="B154" s="20" t="s">
        <v>198</v>
      </c>
      <c r="C154" s="70">
        <v>54684.4</v>
      </c>
      <c r="D154" s="590">
        <v>54684.4</v>
      </c>
      <c r="E154" s="70">
        <v>54684.4</v>
      </c>
      <c r="F154" s="19">
        <f t="shared" si="17"/>
        <v>1</v>
      </c>
      <c r="G154" s="583">
        <f t="shared" si="18"/>
        <v>1</v>
      </c>
      <c r="H154" s="70"/>
      <c r="I154" s="70"/>
      <c r="J154" s="19" t="str">
        <f t="shared" si="20"/>
        <v/>
      </c>
      <c r="K154" s="34">
        <f t="shared" si="32"/>
        <v>54684.4</v>
      </c>
      <c r="L154" s="34">
        <f t="shared" si="33"/>
        <v>54684.4</v>
      </c>
      <c r="M154" s="19">
        <f t="shared" si="16"/>
        <v>1</v>
      </c>
      <c r="N154" s="37" t="e">
        <f>#N/A</f>
        <v>#N/A</v>
      </c>
    </row>
    <row r="155" spans="1:20" ht="18" customHeight="1" x14ac:dyDescent="0.25">
      <c r="A155" s="139" t="s">
        <v>199</v>
      </c>
      <c r="B155" s="29">
        <v>41030000</v>
      </c>
      <c r="C155" s="30">
        <v>577805.69999999995</v>
      </c>
      <c r="D155" s="80">
        <v>409449.1</v>
      </c>
      <c r="E155" s="30">
        <v>465585.7</v>
      </c>
      <c r="F155" s="31">
        <f t="shared" ref="F155:F243" si="34">IFERROR(E155/C155,"")</f>
        <v>0.80578246285905464</v>
      </c>
      <c r="G155" s="583">
        <f t="shared" ref="G155:G239" si="35">IFERROR(E155/D155,"")</f>
        <v>1.137102755873685</v>
      </c>
      <c r="H155" s="30">
        <f>H161+H164+H165+H168</f>
        <v>80095.899999999994</v>
      </c>
      <c r="I155" s="30">
        <f>I161+I164+I165+I168</f>
        <v>0</v>
      </c>
      <c r="J155" s="191">
        <f t="shared" si="20"/>
        <v>0</v>
      </c>
      <c r="K155" s="30">
        <f>SUM(C155,H155)</f>
        <v>657901.6</v>
      </c>
      <c r="L155" s="30">
        <f>SUM(I155,E155)</f>
        <v>465585.7</v>
      </c>
      <c r="M155" s="31">
        <f t="shared" si="16"/>
        <v>0.70768288145218072</v>
      </c>
      <c r="N155" s="37" t="e">
        <f>#N/A</f>
        <v>#N/A</v>
      </c>
      <c r="O155" s="198"/>
      <c r="P155" s="198"/>
    </row>
    <row r="156" spans="1:20" ht="13.8" hidden="1" x14ac:dyDescent="0.25">
      <c r="A156" s="750" t="s">
        <v>200</v>
      </c>
      <c r="B156" s="144">
        <v>41030400</v>
      </c>
      <c r="C156" s="200"/>
      <c r="D156" s="200"/>
      <c r="E156" s="200"/>
      <c r="F156" s="496" t="str">
        <f t="shared" si="34"/>
        <v/>
      </c>
      <c r="G156" s="93" t="str">
        <f t="shared" si="35"/>
        <v/>
      </c>
      <c r="H156" s="200"/>
      <c r="I156" s="200"/>
      <c r="J156" s="496" t="str">
        <f t="shared" si="20"/>
        <v/>
      </c>
      <c r="K156" s="245">
        <f>SUM(H156,C156)</f>
        <v>0</v>
      </c>
      <c r="L156" s="245">
        <f>SUM(I156,E156)</f>
        <v>0</v>
      </c>
      <c r="M156" s="496" t="str">
        <f t="shared" si="16"/>
        <v/>
      </c>
      <c r="N156" s="37" t="e">
        <f>#N/A</f>
        <v>#N/A</v>
      </c>
    </row>
    <row r="157" spans="1:20" ht="26.4" hidden="1" x14ac:dyDescent="0.25">
      <c r="A157" s="199" t="s">
        <v>201</v>
      </c>
      <c r="B157" s="59">
        <v>41030500</v>
      </c>
      <c r="C157" s="201"/>
      <c r="D157" s="86"/>
      <c r="E157" s="201"/>
      <c r="F157" s="61" t="str">
        <f t="shared" si="34"/>
        <v/>
      </c>
      <c r="G157" s="63" t="str">
        <f t="shared" si="35"/>
        <v/>
      </c>
      <c r="H157" s="201"/>
      <c r="I157" s="201"/>
      <c r="J157" s="61" t="str">
        <f t="shared" si="20"/>
        <v/>
      </c>
      <c r="K157" s="138"/>
      <c r="L157" s="138"/>
      <c r="M157" s="61" t="str">
        <f t="shared" si="16"/>
        <v/>
      </c>
      <c r="N157" s="37" t="e">
        <f>#N/A</f>
        <v>#N/A</v>
      </c>
    </row>
    <row r="158" spans="1:20" ht="66" hidden="1" x14ac:dyDescent="0.25">
      <c r="A158" s="199" t="s">
        <v>202</v>
      </c>
      <c r="B158" s="202">
        <v>41030600</v>
      </c>
      <c r="C158" s="186">
        <v>0</v>
      </c>
      <c r="D158" s="186">
        <v>0</v>
      </c>
      <c r="E158" s="186">
        <v>0</v>
      </c>
      <c r="F158" s="183" t="str">
        <f t="shared" si="34"/>
        <v/>
      </c>
      <c r="G158" s="183" t="str">
        <f t="shared" si="35"/>
        <v/>
      </c>
      <c r="H158" s="203"/>
      <c r="I158" s="204"/>
      <c r="J158" s="183" t="str">
        <f t="shared" si="20"/>
        <v/>
      </c>
      <c r="K158" s="186" t="e">
        <f>#N/A</f>
        <v>#N/A</v>
      </c>
      <c r="L158" s="186" t="e">
        <f>#N/A</f>
        <v>#N/A</v>
      </c>
      <c r="M158" s="63" t="str">
        <f t="shared" si="16"/>
        <v/>
      </c>
      <c r="N158" s="37" t="e">
        <f>#N/A</f>
        <v>#N/A</v>
      </c>
    </row>
    <row r="159" spans="1:20" ht="39.6" hidden="1" x14ac:dyDescent="0.25">
      <c r="A159" s="199" t="s">
        <v>203</v>
      </c>
      <c r="B159" s="205">
        <v>41032300</v>
      </c>
      <c r="C159" s="206"/>
      <c r="D159" s="50"/>
      <c r="E159" s="206"/>
      <c r="F159" s="111" t="str">
        <f t="shared" si="34"/>
        <v/>
      </c>
      <c r="G159" s="61" t="str">
        <f t="shared" si="35"/>
        <v/>
      </c>
      <c r="H159" s="207"/>
      <c r="I159" s="208"/>
      <c r="J159" s="104" t="str">
        <f t="shared" si="20"/>
        <v/>
      </c>
      <c r="K159" s="113">
        <f>SUM(C159,H159)</f>
        <v>0</v>
      </c>
      <c r="L159" s="113">
        <f>SUM(I159,E159)</f>
        <v>0</v>
      </c>
      <c r="M159" s="49" t="str">
        <f t="shared" si="16"/>
        <v/>
      </c>
      <c r="N159" s="37" t="e">
        <f>#N/A</f>
        <v>#N/A</v>
      </c>
    </row>
    <row r="160" spans="1:20" ht="39.6" hidden="1" x14ac:dyDescent="0.25">
      <c r="A160" s="199" t="s">
        <v>204</v>
      </c>
      <c r="B160" s="205">
        <v>41032500</v>
      </c>
      <c r="C160" s="186">
        <v>0</v>
      </c>
      <c r="D160" s="186">
        <v>0</v>
      </c>
      <c r="E160" s="186">
        <v>0</v>
      </c>
      <c r="F160" s="183" t="str">
        <f t="shared" si="34"/>
        <v/>
      </c>
      <c r="G160" s="183" t="str">
        <f t="shared" si="35"/>
        <v/>
      </c>
      <c r="H160" s="186"/>
      <c r="I160" s="204"/>
      <c r="J160" s="104" t="str">
        <f t="shared" si="20"/>
        <v/>
      </c>
      <c r="K160" s="113">
        <f>SUM(C160,H160)</f>
        <v>0</v>
      </c>
      <c r="L160" s="113">
        <f>SUM(I160,E160)</f>
        <v>0</v>
      </c>
      <c r="M160" s="49" t="str">
        <f t="shared" si="16"/>
        <v/>
      </c>
      <c r="N160" s="37" t="e">
        <f>#N/A</f>
        <v>#N/A</v>
      </c>
    </row>
    <row r="161" spans="1:14" ht="39.6" x14ac:dyDescent="0.25">
      <c r="A161" s="199" t="s">
        <v>687</v>
      </c>
      <c r="B161" s="202">
        <v>41031400</v>
      </c>
      <c r="C161" s="64"/>
      <c r="D161" s="64">
        <v>0</v>
      </c>
      <c r="E161" s="64"/>
      <c r="F161" s="63" t="str">
        <f t="shared" si="34"/>
        <v/>
      </c>
      <c r="G161" s="63" t="str">
        <f t="shared" si="35"/>
        <v/>
      </c>
      <c r="H161" s="209">
        <v>80095.899999999994</v>
      </c>
      <c r="I161" s="210"/>
      <c r="J161" s="63">
        <f t="shared" si="20"/>
        <v>0</v>
      </c>
      <c r="K161" s="209">
        <f>C161+H161</f>
        <v>80095.899999999994</v>
      </c>
      <c r="L161" s="209">
        <f>E161+I161</f>
        <v>0</v>
      </c>
      <c r="M161" s="63">
        <f t="shared" si="16"/>
        <v>0</v>
      </c>
      <c r="N161" s="37" t="e">
        <f>#N/A</f>
        <v>#N/A</v>
      </c>
    </row>
    <row r="162" spans="1:14" ht="39.6" hidden="1" x14ac:dyDescent="0.25">
      <c r="A162" s="199" t="s">
        <v>205</v>
      </c>
      <c r="B162" s="202">
        <v>41031000</v>
      </c>
      <c r="C162" s="186">
        <v>0</v>
      </c>
      <c r="D162" s="186">
        <v>0</v>
      </c>
      <c r="E162" s="186">
        <v>0</v>
      </c>
      <c r="F162" s="183" t="str">
        <f t="shared" si="34"/>
        <v/>
      </c>
      <c r="G162" s="183" t="str">
        <f t="shared" si="35"/>
        <v/>
      </c>
      <c r="H162" s="203"/>
      <c r="I162" s="204"/>
      <c r="J162" s="183" t="str">
        <f t="shared" si="20"/>
        <v/>
      </c>
      <c r="K162" s="186" t="e">
        <f>#N/A</f>
        <v>#N/A</v>
      </c>
      <c r="L162" s="186" t="e">
        <f>#N/A</f>
        <v>#N/A</v>
      </c>
      <c r="M162" s="63" t="str">
        <f t="shared" si="16"/>
        <v/>
      </c>
      <c r="N162" s="37" t="e">
        <f>#N/A</f>
        <v>#N/A</v>
      </c>
    </row>
    <row r="163" spans="1:14" ht="26.4" hidden="1" x14ac:dyDescent="0.25">
      <c r="A163" s="652" t="s">
        <v>206</v>
      </c>
      <c r="B163" s="653">
        <v>41033600</v>
      </c>
      <c r="C163" s="244">
        <v>0</v>
      </c>
      <c r="D163" s="186">
        <v>0</v>
      </c>
      <c r="E163" s="244">
        <v>0</v>
      </c>
      <c r="F163" s="654" t="str">
        <f t="shared" si="34"/>
        <v/>
      </c>
      <c r="G163" s="183" t="str">
        <f t="shared" si="35"/>
        <v/>
      </c>
      <c r="H163" s="655"/>
      <c r="I163" s="656"/>
      <c r="J163" s="654" t="str">
        <f t="shared" si="20"/>
        <v/>
      </c>
      <c r="K163" s="244" t="e">
        <f>#N/A</f>
        <v>#N/A</v>
      </c>
      <c r="L163" s="244" t="e">
        <f>#N/A</f>
        <v>#N/A</v>
      </c>
      <c r="M163" s="499" t="str">
        <f t="shared" si="16"/>
        <v/>
      </c>
      <c r="N163" s="37"/>
    </row>
    <row r="164" spans="1:14" ht="30" customHeight="1" x14ac:dyDescent="0.25">
      <c r="A164" s="211" t="s">
        <v>683</v>
      </c>
      <c r="B164" s="217">
        <v>41033300</v>
      </c>
      <c r="C164" s="35">
        <v>24523.200000000001</v>
      </c>
      <c r="D164" s="591"/>
      <c r="E164" s="35">
        <v>8178.5</v>
      </c>
      <c r="F164" s="115">
        <f t="shared" si="34"/>
        <v>0.33350052195472041</v>
      </c>
      <c r="G164" s="593"/>
      <c r="H164" s="35"/>
      <c r="I164" s="220"/>
      <c r="J164" s="61"/>
      <c r="K164" s="34">
        <f t="shared" ref="K164:K165" si="36">SUM(C164,H164)</f>
        <v>24523.200000000001</v>
      </c>
      <c r="L164" s="34">
        <f t="shared" ref="L164:L165" si="37">SUM(I164,E164)</f>
        <v>8178.5</v>
      </c>
      <c r="M164" s="115">
        <f t="shared" si="16"/>
        <v>0.33350052195472041</v>
      </c>
      <c r="N164" s="37"/>
    </row>
    <row r="165" spans="1:14" ht="43.2" customHeight="1" x14ac:dyDescent="0.25">
      <c r="A165" s="211" t="s">
        <v>207</v>
      </c>
      <c r="B165" s="212" t="s">
        <v>208</v>
      </c>
      <c r="C165" s="35">
        <v>12982.4</v>
      </c>
      <c r="D165" s="592">
        <v>12982.4</v>
      </c>
      <c r="E165" s="35">
        <v>12982.4</v>
      </c>
      <c r="F165" s="115">
        <f t="shared" si="34"/>
        <v>1</v>
      </c>
      <c r="G165" s="583">
        <f t="shared" si="35"/>
        <v>1</v>
      </c>
      <c r="H165" s="35"/>
      <c r="I165" s="35"/>
      <c r="J165" s="19"/>
      <c r="K165" s="34">
        <f t="shared" si="36"/>
        <v>12982.4</v>
      </c>
      <c r="L165" s="34">
        <f t="shared" si="37"/>
        <v>12982.4</v>
      </c>
      <c r="M165" s="115">
        <f t="shared" si="16"/>
        <v>1</v>
      </c>
      <c r="N165" s="37"/>
    </row>
    <row r="166" spans="1:14" ht="26.25" hidden="1" customHeight="1" x14ac:dyDescent="0.25">
      <c r="A166" s="751" t="s">
        <v>209</v>
      </c>
      <c r="B166" s="752">
        <v>41033800</v>
      </c>
      <c r="C166" s="753">
        <v>0</v>
      </c>
      <c r="D166" s="215"/>
      <c r="E166" s="754">
        <v>0</v>
      </c>
      <c r="F166" s="496" t="str">
        <f t="shared" si="34"/>
        <v/>
      </c>
      <c r="G166" s="87" t="str">
        <f t="shared" si="35"/>
        <v/>
      </c>
      <c r="H166" s="646"/>
      <c r="I166" s="755"/>
      <c r="J166" s="737" t="str">
        <f t="shared" si="20"/>
        <v/>
      </c>
      <c r="K166" s="245" t="e">
        <f>#N/A</f>
        <v>#N/A</v>
      </c>
      <c r="L166" s="245" t="e">
        <f>#N/A</f>
        <v>#N/A</v>
      </c>
      <c r="M166" s="496" t="str">
        <f t="shared" si="16"/>
        <v/>
      </c>
      <c r="N166" s="37"/>
    </row>
    <row r="167" spans="1:14" ht="26.25" hidden="1" customHeight="1" x14ac:dyDescent="0.25">
      <c r="A167" s="657" t="s">
        <v>210</v>
      </c>
      <c r="B167" s="658">
        <v>41033800</v>
      </c>
      <c r="C167" s="218">
        <v>0</v>
      </c>
      <c r="D167" s="219"/>
      <c r="E167" s="218">
        <v>0</v>
      </c>
      <c r="F167" s="624" t="str">
        <f t="shared" si="34"/>
        <v/>
      </c>
      <c r="G167" s="61" t="str">
        <f t="shared" si="35"/>
        <v/>
      </c>
      <c r="H167" s="240"/>
      <c r="I167" s="219"/>
      <c r="J167" s="625" t="str">
        <f t="shared" si="20"/>
        <v/>
      </c>
      <c r="K167" s="628">
        <f>SUM(C167,H167)</f>
        <v>0</v>
      </c>
      <c r="L167" s="628">
        <f>SUM(I167,E167)</f>
        <v>0</v>
      </c>
      <c r="M167" s="642" t="str">
        <f t="shared" si="16"/>
        <v/>
      </c>
      <c r="N167" s="37"/>
    </row>
    <row r="168" spans="1:14" ht="19.5" customHeight="1" x14ac:dyDescent="0.25">
      <c r="A168" s="211" t="s">
        <v>211</v>
      </c>
      <c r="B168" s="217">
        <v>41033900</v>
      </c>
      <c r="C168" s="34">
        <v>540300.1</v>
      </c>
      <c r="D168" s="80">
        <v>396466.7</v>
      </c>
      <c r="E168" s="34">
        <v>444424.8</v>
      </c>
      <c r="F168" s="115">
        <f t="shared" si="34"/>
        <v>0.82255176336262015</v>
      </c>
      <c r="G168" s="583">
        <f t="shared" si="35"/>
        <v>1.1209637530718215</v>
      </c>
      <c r="H168" s="35"/>
      <c r="I168" s="35"/>
      <c r="J168" s="191" t="str">
        <f t="shared" si="20"/>
        <v/>
      </c>
      <c r="K168" s="34">
        <f>SUM(C168,H168)</f>
        <v>540300.1</v>
      </c>
      <c r="L168" s="34">
        <f>SUM(I168,E168)</f>
        <v>444424.8</v>
      </c>
      <c r="M168" s="115">
        <f t="shared" si="16"/>
        <v>0.82255176336262015</v>
      </c>
      <c r="N168" s="37"/>
    </row>
    <row r="169" spans="1:14" ht="53.25" hidden="1" customHeight="1" x14ac:dyDescent="0.25">
      <c r="A169" s="756" t="s">
        <v>212</v>
      </c>
      <c r="B169" s="757">
        <v>41034200</v>
      </c>
      <c r="C169" s="221"/>
      <c r="D169" s="221"/>
      <c r="E169" s="221"/>
      <c r="F169" s="758" t="str">
        <f t="shared" si="34"/>
        <v/>
      </c>
      <c r="G169" s="61" t="str">
        <f t="shared" si="35"/>
        <v/>
      </c>
      <c r="H169" s="227"/>
      <c r="I169" s="228"/>
      <c r="J169" s="759" t="str">
        <f t="shared" si="20"/>
        <v/>
      </c>
      <c r="K169" s="738">
        <f>SUM(C169,H169)</f>
        <v>0</v>
      </c>
      <c r="L169" s="738">
        <f>SUM(I169,E169)</f>
        <v>0</v>
      </c>
      <c r="M169" s="723" t="str">
        <f t="shared" si="16"/>
        <v/>
      </c>
      <c r="N169" s="37"/>
    </row>
    <row r="170" spans="1:14" ht="70.5" hidden="1" customHeight="1" x14ac:dyDescent="0.25">
      <c r="A170" s="98" t="s">
        <v>213</v>
      </c>
      <c r="B170" s="202">
        <v>41034500</v>
      </c>
      <c r="C170" s="210">
        <v>0</v>
      </c>
      <c r="D170" s="220"/>
      <c r="E170" s="210">
        <v>0</v>
      </c>
      <c r="F170" s="104" t="str">
        <f t="shared" si="34"/>
        <v/>
      </c>
      <c r="G170" s="61" t="str">
        <f t="shared" si="35"/>
        <v/>
      </c>
      <c r="H170" s="64"/>
      <c r="I170" s="210"/>
      <c r="J170" s="63" t="str">
        <f t="shared" si="20"/>
        <v/>
      </c>
      <c r="K170" s="113">
        <f>SUM(C170,H170)</f>
        <v>0</v>
      </c>
      <c r="L170" s="113">
        <f>SUM(I170,E170)</f>
        <v>0</v>
      </c>
      <c r="M170" s="49" t="str">
        <f t="shared" si="16"/>
        <v/>
      </c>
      <c r="N170" s="37"/>
    </row>
    <row r="171" spans="1:14" ht="66.75" hidden="1" customHeight="1" x14ac:dyDescent="0.25">
      <c r="A171" s="657" t="s">
        <v>213</v>
      </c>
      <c r="B171" s="658">
        <v>41034500</v>
      </c>
      <c r="C171" s="222"/>
      <c r="D171" s="223"/>
      <c r="E171" s="222"/>
      <c r="F171" s="627" t="str">
        <f t="shared" si="34"/>
        <v/>
      </c>
      <c r="G171" s="61" t="str">
        <f t="shared" si="35"/>
        <v/>
      </c>
      <c r="H171" s="222"/>
      <c r="I171" s="224"/>
      <c r="J171" s="624" t="str">
        <f t="shared" si="20"/>
        <v/>
      </c>
      <c r="K171" s="628">
        <f>SUM(C171,H171)</f>
        <v>0</v>
      </c>
      <c r="L171" s="628">
        <f>SUM(I171,E171)</f>
        <v>0</v>
      </c>
      <c r="M171" s="642" t="str">
        <f t="shared" si="16"/>
        <v/>
      </c>
      <c r="N171" s="37"/>
    </row>
    <row r="172" spans="1:14" ht="21.75" customHeight="1" x14ac:dyDescent="0.25">
      <c r="A172" s="225" t="s">
        <v>214</v>
      </c>
      <c r="B172" s="226">
        <v>41040000</v>
      </c>
      <c r="C172" s="30">
        <f>C173+C174</f>
        <v>1484.44</v>
      </c>
      <c r="D172" s="578">
        <f t="shared" ref="D172:E172" si="38">D173+D174</f>
        <v>1175.2829999999999</v>
      </c>
      <c r="E172" s="30">
        <f t="shared" si="38"/>
        <v>1484.44</v>
      </c>
      <c r="F172" s="31">
        <f t="shared" si="34"/>
        <v>1</v>
      </c>
      <c r="G172" s="580">
        <f t="shared" si="35"/>
        <v>1.2630489847977042</v>
      </c>
      <c r="H172" s="30"/>
      <c r="I172" s="30"/>
      <c r="J172" s="191" t="str">
        <f t="shared" si="20"/>
        <v/>
      </c>
      <c r="K172" s="30">
        <f t="shared" ref="K172:K190" si="39">SUM(C172,H172)</f>
        <v>1484.44</v>
      </c>
      <c r="L172" s="30">
        <f t="shared" ref="L172:L190" si="40">SUM(I172,E172)</f>
        <v>1484.44</v>
      </c>
      <c r="M172" s="31">
        <f t="shared" si="16"/>
        <v>1</v>
      </c>
      <c r="N172" s="37"/>
    </row>
    <row r="173" spans="1:14" ht="68.25" hidden="1" customHeight="1" x14ac:dyDescent="0.25">
      <c r="A173" s="760" t="s">
        <v>215</v>
      </c>
      <c r="B173" s="517">
        <v>41040200</v>
      </c>
      <c r="C173" s="324"/>
      <c r="D173" s="219">
        <v>0</v>
      </c>
      <c r="E173" s="324"/>
      <c r="F173" s="727" t="str">
        <f t="shared" si="34"/>
        <v/>
      </c>
      <c r="G173" s="61" t="str">
        <f t="shared" si="35"/>
        <v/>
      </c>
      <c r="H173" s="223"/>
      <c r="I173" s="324"/>
      <c r="J173" s="728" t="str">
        <f t="shared" si="20"/>
        <v/>
      </c>
      <c r="K173" s="729">
        <f t="shared" si="39"/>
        <v>0</v>
      </c>
      <c r="L173" s="729">
        <f t="shared" si="40"/>
        <v>0</v>
      </c>
      <c r="M173" s="727" t="str">
        <f t="shared" si="16"/>
        <v/>
      </c>
      <c r="N173" s="37"/>
    </row>
    <row r="174" spans="1:14" ht="16.5" customHeight="1" x14ac:dyDescent="0.25">
      <c r="A174" s="211" t="s">
        <v>216</v>
      </c>
      <c r="B174" s="217">
        <v>41040400</v>
      </c>
      <c r="C174" s="34">
        <v>1484.44</v>
      </c>
      <c r="D174" s="80">
        <v>1175.2829999999999</v>
      </c>
      <c r="E174" s="34">
        <v>1484.44</v>
      </c>
      <c r="F174" s="115">
        <f t="shared" si="34"/>
        <v>1</v>
      </c>
      <c r="G174" s="583">
        <f t="shared" si="35"/>
        <v>1.2630489847977042</v>
      </c>
      <c r="H174" s="35"/>
      <c r="I174" s="35"/>
      <c r="J174" s="191" t="str">
        <f t="shared" si="20"/>
        <v/>
      </c>
      <c r="K174" s="34">
        <f t="shared" si="39"/>
        <v>1484.44</v>
      </c>
      <c r="L174" s="34">
        <f t="shared" si="40"/>
        <v>1484.44</v>
      </c>
      <c r="M174" s="115">
        <f t="shared" si="16"/>
        <v>1</v>
      </c>
      <c r="N174" s="37"/>
    </row>
    <row r="175" spans="1:14" ht="21" customHeight="1" x14ac:dyDescent="0.25">
      <c r="A175" s="225" t="s">
        <v>217</v>
      </c>
      <c r="B175" s="226">
        <v>41050000</v>
      </c>
      <c r="C175" s="30">
        <f>SUBTOTAL(9,C179:C216)</f>
        <v>176059.821</v>
      </c>
      <c r="D175" s="578">
        <f>SUBTOTAL(9,D179:D216)</f>
        <v>60018.182999999997</v>
      </c>
      <c r="E175" s="30">
        <f>SUBTOTAL(9,E179:E216)</f>
        <v>111618.833</v>
      </c>
      <c r="F175" s="31">
        <f t="shared" si="34"/>
        <v>0.63398242918808834</v>
      </c>
      <c r="G175" s="580">
        <f t="shared" si="35"/>
        <v>1.8597502860091584</v>
      </c>
      <c r="H175" s="30">
        <v>24809.447</v>
      </c>
      <c r="I175" s="30">
        <v>12809.447</v>
      </c>
      <c r="J175" s="31">
        <f t="shared" si="20"/>
        <v>0.5163132817914079</v>
      </c>
      <c r="K175" s="30">
        <f>SUM(C175,H175)</f>
        <v>200869.26799999998</v>
      </c>
      <c r="L175" s="30">
        <f t="shared" si="40"/>
        <v>124428.28</v>
      </c>
      <c r="M175" s="31">
        <f t="shared" si="16"/>
        <v>0.61944906375623376</v>
      </c>
      <c r="N175" s="37"/>
    </row>
    <row r="176" spans="1:14" ht="24" hidden="1" customHeight="1" x14ac:dyDescent="0.25">
      <c r="A176" s="756" t="s">
        <v>218</v>
      </c>
      <c r="B176" s="757">
        <v>41050100</v>
      </c>
      <c r="C176" s="221"/>
      <c r="D176" s="221"/>
      <c r="E176" s="221"/>
      <c r="F176" s="758" t="str">
        <f t="shared" si="34"/>
        <v/>
      </c>
      <c r="G176" s="61" t="str">
        <f t="shared" si="35"/>
        <v/>
      </c>
      <c r="H176" s="227"/>
      <c r="I176" s="228"/>
      <c r="J176" s="759" t="str">
        <f t="shared" si="20"/>
        <v/>
      </c>
      <c r="K176" s="761">
        <f t="shared" ref="K176" si="41">SUM(C176,H176)</f>
        <v>0</v>
      </c>
      <c r="L176" s="761">
        <f t="shared" si="40"/>
        <v>0</v>
      </c>
      <c r="M176" s="762" t="str">
        <f t="shared" si="16"/>
        <v/>
      </c>
      <c r="N176" s="37"/>
    </row>
    <row r="177" spans="1:14" ht="18.75" hidden="1" customHeight="1" x14ac:dyDescent="0.25">
      <c r="A177" s="211" t="s">
        <v>219</v>
      </c>
      <c r="B177" s="217">
        <v>41050200</v>
      </c>
      <c r="C177" s="210"/>
      <c r="D177" s="220"/>
      <c r="E177" s="210"/>
      <c r="F177" s="104" t="str">
        <f t="shared" si="34"/>
        <v/>
      </c>
      <c r="G177" s="61" t="str">
        <f t="shared" si="35"/>
        <v/>
      </c>
      <c r="H177" s="174"/>
      <c r="I177" s="220"/>
      <c r="J177" s="61" t="str">
        <f t="shared" si="20"/>
        <v/>
      </c>
      <c r="K177" s="229">
        <f t="shared" si="39"/>
        <v>0</v>
      </c>
      <c r="L177" s="229">
        <f t="shared" si="40"/>
        <v>0</v>
      </c>
      <c r="M177" s="230" t="str">
        <f t="shared" si="16"/>
        <v/>
      </c>
      <c r="N177" s="37"/>
    </row>
    <row r="178" spans="1:14" ht="37.5" hidden="1" customHeight="1" x14ac:dyDescent="0.25">
      <c r="A178" s="657" t="s">
        <v>220</v>
      </c>
      <c r="B178" s="658">
        <v>41050300</v>
      </c>
      <c r="C178" s="218"/>
      <c r="D178" s="220"/>
      <c r="E178" s="218"/>
      <c r="F178" s="624" t="str">
        <f t="shared" si="34"/>
        <v/>
      </c>
      <c r="G178" s="61" t="str">
        <f t="shared" si="35"/>
        <v/>
      </c>
      <c r="H178" s="240"/>
      <c r="I178" s="219"/>
      <c r="J178" s="625" t="str">
        <f t="shared" si="20"/>
        <v/>
      </c>
      <c r="K178" s="659">
        <f t="shared" si="39"/>
        <v>0</v>
      </c>
      <c r="L178" s="659">
        <f t="shared" si="40"/>
        <v>0</v>
      </c>
      <c r="M178" s="660" t="str">
        <f t="shared" si="16"/>
        <v/>
      </c>
      <c r="N178" s="37"/>
    </row>
    <row r="179" spans="1:14" ht="210" customHeight="1" x14ac:dyDescent="0.25">
      <c r="A179" s="120" t="s">
        <v>221</v>
      </c>
      <c r="B179" s="217">
        <v>41050400</v>
      </c>
      <c r="C179" s="34">
        <v>133003.603</v>
      </c>
      <c r="D179" s="80">
        <v>28827.363000000001</v>
      </c>
      <c r="E179" s="34">
        <v>70585.456999999995</v>
      </c>
      <c r="F179" s="115">
        <f t="shared" si="34"/>
        <v>0.53070334493118954</v>
      </c>
      <c r="G179" s="581">
        <f t="shared" si="35"/>
        <v>2.4485575388910874</v>
      </c>
      <c r="H179" s="35"/>
      <c r="I179" s="35"/>
      <c r="J179" s="19" t="str">
        <f t="shared" si="20"/>
        <v/>
      </c>
      <c r="K179" s="34">
        <f t="shared" si="39"/>
        <v>133003.603</v>
      </c>
      <c r="L179" s="34">
        <f t="shared" si="40"/>
        <v>70585.456999999995</v>
      </c>
      <c r="M179" s="115">
        <f t="shared" si="16"/>
        <v>0.53070334493118954</v>
      </c>
      <c r="N179" s="37"/>
    </row>
    <row r="180" spans="1:14" ht="145.19999999999999" x14ac:dyDescent="0.25">
      <c r="A180" s="211" t="s">
        <v>222</v>
      </c>
      <c r="B180" s="217">
        <v>41050500</v>
      </c>
      <c r="C180" s="34">
        <v>5637.0280000000002</v>
      </c>
      <c r="D180" s="80">
        <v>5637.0280000000002</v>
      </c>
      <c r="E180" s="34">
        <v>5637.0280000000002</v>
      </c>
      <c r="F180" s="115">
        <f t="shared" si="34"/>
        <v>1</v>
      </c>
      <c r="G180" s="583">
        <f t="shared" si="35"/>
        <v>1</v>
      </c>
      <c r="H180" s="34"/>
      <c r="I180" s="34"/>
      <c r="J180" s="115" t="str">
        <f t="shared" si="20"/>
        <v/>
      </c>
      <c r="K180" s="34">
        <f t="shared" si="39"/>
        <v>5637.0280000000002</v>
      </c>
      <c r="L180" s="34">
        <f t="shared" si="40"/>
        <v>5637.0280000000002</v>
      </c>
      <c r="M180" s="115">
        <f t="shared" si="16"/>
        <v>1</v>
      </c>
      <c r="N180" s="37"/>
    </row>
    <row r="181" spans="1:14" ht="210.6" customHeight="1" x14ac:dyDescent="0.25">
      <c r="A181" s="211" t="s">
        <v>223</v>
      </c>
      <c r="B181" s="217">
        <v>41050600</v>
      </c>
      <c r="C181" s="35">
        <v>10408.927</v>
      </c>
      <c r="D181" s="80">
        <v>10408.927</v>
      </c>
      <c r="E181" s="35">
        <v>10408.927</v>
      </c>
      <c r="F181" s="115">
        <f t="shared" si="34"/>
        <v>1</v>
      </c>
      <c r="G181" s="583">
        <f t="shared" si="35"/>
        <v>1</v>
      </c>
      <c r="H181" s="34"/>
      <c r="I181" s="34"/>
      <c r="J181" s="115" t="str">
        <f t="shared" si="20"/>
        <v/>
      </c>
      <c r="K181" s="34">
        <f t="shared" si="39"/>
        <v>10408.927</v>
      </c>
      <c r="L181" s="34">
        <f t="shared" si="40"/>
        <v>10408.927</v>
      </c>
      <c r="M181" s="115">
        <f t="shared" ref="M181:M244" si="42">IFERROR(L181/K181,"")</f>
        <v>1</v>
      </c>
      <c r="N181" s="37"/>
    </row>
    <row r="182" spans="1:14" ht="28.5" hidden="1" customHeight="1" x14ac:dyDescent="0.25">
      <c r="A182" s="756" t="s">
        <v>224</v>
      </c>
      <c r="B182" s="757">
        <v>41050700</v>
      </c>
      <c r="C182" s="763"/>
      <c r="D182" s="219"/>
      <c r="E182" s="763"/>
      <c r="F182" s="758" t="str">
        <f t="shared" si="34"/>
        <v/>
      </c>
      <c r="G182" s="61" t="str">
        <f t="shared" si="35"/>
        <v/>
      </c>
      <c r="H182" s="227"/>
      <c r="I182" s="228"/>
      <c r="J182" s="759" t="str">
        <f t="shared" ref="J182:J246" si="43">IFERROR(I182/H182,"")</f>
        <v/>
      </c>
      <c r="K182" s="761">
        <f t="shared" si="39"/>
        <v>0</v>
      </c>
      <c r="L182" s="761">
        <f t="shared" si="40"/>
        <v>0</v>
      </c>
      <c r="M182" s="762" t="str">
        <f t="shared" si="42"/>
        <v/>
      </c>
      <c r="N182" s="37"/>
    </row>
    <row r="183" spans="1:14" ht="36" hidden="1" customHeight="1" x14ac:dyDescent="0.25">
      <c r="A183" s="629" t="s">
        <v>225</v>
      </c>
      <c r="B183" s="658">
        <v>41050900</v>
      </c>
      <c r="C183" s="213"/>
      <c r="D183" s="232"/>
      <c r="E183" s="213"/>
      <c r="F183" s="661" t="str">
        <f t="shared" si="34"/>
        <v/>
      </c>
      <c r="G183" s="61" t="str">
        <f t="shared" si="35"/>
        <v/>
      </c>
      <c r="H183" s="213"/>
      <c r="I183" s="213"/>
      <c r="J183" s="566" t="str">
        <f t="shared" si="43"/>
        <v/>
      </c>
      <c r="K183" s="569">
        <f t="shared" si="39"/>
        <v>0</v>
      </c>
      <c r="L183" s="569">
        <f t="shared" si="40"/>
        <v>0</v>
      </c>
      <c r="M183" s="662" t="str">
        <f t="shared" si="42"/>
        <v/>
      </c>
      <c r="N183" s="37"/>
    </row>
    <row r="184" spans="1:14" ht="29.25" customHeight="1" x14ac:dyDescent="0.25">
      <c r="A184" s="120" t="s">
        <v>226</v>
      </c>
      <c r="B184" s="217">
        <v>41051000</v>
      </c>
      <c r="C184" s="34">
        <v>7513.5990000000002</v>
      </c>
      <c r="D184" s="80">
        <v>5749.9970000000003</v>
      </c>
      <c r="E184" s="34">
        <v>6343.527</v>
      </c>
      <c r="F184" s="115">
        <f t="shared" si="34"/>
        <v>0.84427276462318523</v>
      </c>
      <c r="G184" s="583">
        <f t="shared" si="35"/>
        <v>1.1032226625509542</v>
      </c>
      <c r="H184" s="35"/>
      <c r="I184" s="35"/>
      <c r="J184" s="19" t="str">
        <f t="shared" si="43"/>
        <v/>
      </c>
      <c r="K184" s="34">
        <f t="shared" si="39"/>
        <v>7513.5990000000002</v>
      </c>
      <c r="L184" s="34">
        <f t="shared" si="40"/>
        <v>6343.527</v>
      </c>
      <c r="M184" s="115">
        <f t="shared" si="42"/>
        <v>0.84427276462318523</v>
      </c>
      <c r="N184" s="37"/>
    </row>
    <row r="185" spans="1:14" ht="30.6" customHeight="1" x14ac:dyDescent="0.25">
      <c r="A185" s="211" t="s">
        <v>227</v>
      </c>
      <c r="B185" s="217">
        <v>41051100</v>
      </c>
      <c r="C185" s="35"/>
      <c r="D185" s="594"/>
      <c r="E185" s="35"/>
      <c r="F185" s="115" t="str">
        <f t="shared" si="34"/>
        <v/>
      </c>
      <c r="G185" s="583" t="str">
        <f t="shared" si="35"/>
        <v/>
      </c>
      <c r="H185" s="35">
        <v>12809.447</v>
      </c>
      <c r="I185" s="35">
        <v>12809.447</v>
      </c>
      <c r="J185" s="19">
        <f t="shared" si="43"/>
        <v>1</v>
      </c>
      <c r="K185" s="34">
        <f t="shared" si="39"/>
        <v>12809.447</v>
      </c>
      <c r="L185" s="34">
        <f t="shared" si="40"/>
        <v>12809.447</v>
      </c>
      <c r="M185" s="115">
        <f t="shared" si="42"/>
        <v>1</v>
      </c>
      <c r="N185" s="37"/>
    </row>
    <row r="186" spans="1:14" ht="42.6" customHeight="1" x14ac:dyDescent="0.25">
      <c r="A186" s="120" t="s">
        <v>228</v>
      </c>
      <c r="B186" s="217">
        <v>41051200</v>
      </c>
      <c r="C186" s="34">
        <v>1328.68</v>
      </c>
      <c r="D186" s="80">
        <v>1328.68</v>
      </c>
      <c r="E186" s="34">
        <v>1328.68</v>
      </c>
      <c r="F186" s="115">
        <f t="shared" si="34"/>
        <v>1</v>
      </c>
      <c r="G186" s="583">
        <f t="shared" si="35"/>
        <v>1</v>
      </c>
      <c r="H186" s="35"/>
      <c r="I186" s="35"/>
      <c r="J186" s="19" t="str">
        <f t="shared" si="43"/>
        <v/>
      </c>
      <c r="K186" s="34">
        <f t="shared" si="39"/>
        <v>1328.68</v>
      </c>
      <c r="L186" s="34">
        <f t="shared" si="40"/>
        <v>1328.68</v>
      </c>
      <c r="M186" s="115">
        <f t="shared" si="42"/>
        <v>1</v>
      </c>
      <c r="N186" s="37"/>
    </row>
    <row r="187" spans="1:14" ht="39.6" x14ac:dyDescent="0.25">
      <c r="A187" s="211" t="s">
        <v>229</v>
      </c>
      <c r="B187" s="217">
        <v>41051400</v>
      </c>
      <c r="C187" s="35">
        <v>8790.1820000000007</v>
      </c>
      <c r="D187" s="595"/>
      <c r="E187" s="35">
        <v>8790.1820000000007</v>
      </c>
      <c r="F187" s="568">
        <f t="shared" si="34"/>
        <v>1</v>
      </c>
      <c r="G187" s="593" t="str">
        <f t="shared" si="35"/>
        <v/>
      </c>
      <c r="H187" s="174"/>
      <c r="I187" s="220"/>
      <c r="J187" s="61" t="str">
        <f t="shared" si="43"/>
        <v/>
      </c>
      <c r="K187" s="34">
        <f t="shared" si="39"/>
        <v>8790.1820000000007</v>
      </c>
      <c r="L187" s="34">
        <f t="shared" si="40"/>
        <v>8790.1820000000007</v>
      </c>
      <c r="M187" s="115">
        <f t="shared" si="42"/>
        <v>1</v>
      </c>
      <c r="N187" s="37"/>
    </row>
    <row r="188" spans="1:14" ht="30" hidden="1" customHeight="1" x14ac:dyDescent="0.25">
      <c r="A188" s="756" t="s">
        <v>230</v>
      </c>
      <c r="B188" s="757">
        <v>41051500</v>
      </c>
      <c r="C188" s="221"/>
      <c r="D188" s="210"/>
      <c r="E188" s="221"/>
      <c r="F188" s="764" t="str">
        <f t="shared" si="34"/>
        <v/>
      </c>
      <c r="G188" s="61" t="str">
        <f t="shared" si="35"/>
        <v/>
      </c>
      <c r="H188" s="227"/>
      <c r="I188" s="228"/>
      <c r="J188" s="759" t="str">
        <f t="shared" si="43"/>
        <v/>
      </c>
      <c r="K188" s="738">
        <f t="shared" si="39"/>
        <v>0</v>
      </c>
      <c r="L188" s="738">
        <f t="shared" si="40"/>
        <v>0</v>
      </c>
      <c r="M188" s="765" t="str">
        <f t="shared" si="42"/>
        <v/>
      </c>
      <c r="N188" s="37"/>
    </row>
    <row r="189" spans="1:14" ht="28.5" hidden="1" customHeight="1" x14ac:dyDescent="0.25">
      <c r="A189" s="211" t="s">
        <v>231</v>
      </c>
      <c r="B189" s="217">
        <v>41052000</v>
      </c>
      <c r="C189" s="210">
        <v>0</v>
      </c>
      <c r="D189" s="220"/>
      <c r="E189" s="210">
        <v>0</v>
      </c>
      <c r="F189" s="104" t="str">
        <f t="shared" si="34"/>
        <v/>
      </c>
      <c r="G189" s="61" t="str">
        <f t="shared" si="35"/>
        <v/>
      </c>
      <c r="H189" s="174"/>
      <c r="I189" s="220"/>
      <c r="J189" s="61" t="str">
        <f t="shared" si="43"/>
        <v/>
      </c>
      <c r="K189" s="113">
        <f t="shared" si="39"/>
        <v>0</v>
      </c>
      <c r="L189" s="113">
        <f t="shared" si="40"/>
        <v>0</v>
      </c>
      <c r="M189" s="49" t="str">
        <f t="shared" si="42"/>
        <v/>
      </c>
      <c r="N189" s="37"/>
    </row>
    <row r="190" spans="1:14" ht="27" hidden="1" customHeight="1" x14ac:dyDescent="0.25">
      <c r="A190" s="211" t="s">
        <v>232</v>
      </c>
      <c r="B190" s="231">
        <v>41052900</v>
      </c>
      <c r="C190" s="237">
        <v>0</v>
      </c>
      <c r="D190" s="8">
        <v>0</v>
      </c>
      <c r="E190" s="237">
        <v>0</v>
      </c>
      <c r="F190" s="238" t="str">
        <f t="shared" si="34"/>
        <v/>
      </c>
      <c r="G190" s="61" t="str">
        <f t="shared" si="35"/>
        <v/>
      </c>
      <c r="H190" s="235"/>
      <c r="I190" s="235"/>
      <c r="J190" s="61" t="str">
        <f t="shared" si="43"/>
        <v/>
      </c>
      <c r="K190" s="113">
        <f t="shared" si="39"/>
        <v>0</v>
      </c>
      <c r="L190" s="113">
        <f t="shared" si="40"/>
        <v>0</v>
      </c>
      <c r="M190" s="49" t="str">
        <f t="shared" si="42"/>
        <v/>
      </c>
      <c r="N190" s="37"/>
    </row>
    <row r="191" spans="1:14" ht="26.25" hidden="1" customHeight="1" x14ac:dyDescent="0.25">
      <c r="A191" s="211" t="s">
        <v>233</v>
      </c>
      <c r="B191" s="217">
        <v>41053000</v>
      </c>
      <c r="C191" s="239"/>
      <c r="D191" s="232"/>
      <c r="E191" s="239"/>
      <c r="F191" s="152" t="str">
        <f t="shared" si="34"/>
        <v/>
      </c>
      <c r="G191" s="61" t="str">
        <f t="shared" si="35"/>
        <v/>
      </c>
      <c r="H191" s="240">
        <v>0</v>
      </c>
      <c r="I191" s="240">
        <v>0</v>
      </c>
      <c r="J191" s="180" t="str">
        <f t="shared" si="43"/>
        <v/>
      </c>
      <c r="K191" s="113">
        <f>SUM(C191,H191)</f>
        <v>0</v>
      </c>
      <c r="L191" s="113">
        <f>SUM(I191,E191)</f>
        <v>0</v>
      </c>
      <c r="M191" s="236" t="str">
        <f t="shared" si="42"/>
        <v/>
      </c>
      <c r="N191" s="37"/>
    </row>
    <row r="192" spans="1:14" ht="20.25" hidden="1" customHeight="1" x14ac:dyDescent="0.25">
      <c r="A192" s="657" t="s">
        <v>234</v>
      </c>
      <c r="B192" s="658">
        <v>41053600</v>
      </c>
      <c r="C192" s="241"/>
      <c r="D192" s="242"/>
      <c r="E192" s="243"/>
      <c r="F192" s="654" t="str">
        <f t="shared" si="34"/>
        <v/>
      </c>
      <c r="G192" s="61" t="str">
        <f t="shared" si="35"/>
        <v/>
      </c>
      <c r="H192" s="244"/>
      <c r="I192" s="244"/>
      <c r="J192" s="625" t="str">
        <f t="shared" si="43"/>
        <v/>
      </c>
      <c r="K192" s="628">
        <f>SUM(C192,H192)</f>
        <v>0</v>
      </c>
      <c r="L192" s="628">
        <f>SUM(I192,E192)</f>
        <v>0</v>
      </c>
      <c r="M192" s="642" t="str">
        <f t="shared" si="42"/>
        <v/>
      </c>
      <c r="N192" s="37"/>
    </row>
    <row r="193" spans="1:14" ht="39.6" x14ac:dyDescent="0.25">
      <c r="A193" s="211" t="s">
        <v>235</v>
      </c>
      <c r="B193" s="217">
        <v>41051700</v>
      </c>
      <c r="C193" s="34">
        <v>610.38199999999995</v>
      </c>
      <c r="D193" s="80">
        <v>610.38199999999995</v>
      </c>
      <c r="E193" s="34">
        <v>610.38199999999995</v>
      </c>
      <c r="F193" s="115">
        <f t="shared" si="34"/>
        <v>1</v>
      </c>
      <c r="G193" s="583">
        <f t="shared" si="35"/>
        <v>1</v>
      </c>
      <c r="H193" s="35"/>
      <c r="I193" s="35"/>
      <c r="J193" s="19" t="str">
        <f t="shared" si="43"/>
        <v/>
      </c>
      <c r="K193" s="34">
        <f t="shared" ref="K193" si="44">SUM(C193,H193)</f>
        <v>610.38199999999995</v>
      </c>
      <c r="L193" s="34">
        <f t="shared" ref="L193" si="45">SUM(I193,E193)</f>
        <v>610.38199999999995</v>
      </c>
      <c r="M193" s="115">
        <f t="shared" si="42"/>
        <v>1</v>
      </c>
      <c r="N193" s="37"/>
    </row>
    <row r="194" spans="1:14" ht="13.8" x14ac:dyDescent="0.25">
      <c r="A194" s="211" t="s">
        <v>236</v>
      </c>
      <c r="B194" s="217">
        <v>41053900</v>
      </c>
      <c r="C194" s="34">
        <v>8580.32</v>
      </c>
      <c r="D194" s="80">
        <v>7319.0540000000001</v>
      </c>
      <c r="E194" s="34">
        <v>7810.7049999999999</v>
      </c>
      <c r="F194" s="115">
        <f t="shared" si="34"/>
        <v>0.91030462733324635</v>
      </c>
      <c r="G194" s="583">
        <f t="shared" si="35"/>
        <v>1.0671741184038266</v>
      </c>
      <c r="H194" s="34">
        <v>12000</v>
      </c>
      <c r="I194" s="34">
        <v>0</v>
      </c>
      <c r="J194" s="19">
        <f t="shared" si="43"/>
        <v>0</v>
      </c>
      <c r="K194" s="34">
        <f>SUM(C194,H194)</f>
        <v>20580.32</v>
      </c>
      <c r="L194" s="34">
        <f>SUM(I194,E194)</f>
        <v>7810.7049999999999</v>
      </c>
      <c r="M194" s="115">
        <f t="shared" si="42"/>
        <v>0.37952301033220087</v>
      </c>
      <c r="N194" s="37">
        <f>SUM(C194:M194)</f>
        <v>64103.461001756077</v>
      </c>
    </row>
    <row r="195" spans="1:14" ht="99.75" hidden="1" customHeight="1" x14ac:dyDescent="0.25">
      <c r="A195" s="750" t="s">
        <v>237</v>
      </c>
      <c r="B195" s="766">
        <v>41035200</v>
      </c>
      <c r="C195" s="235">
        <v>0</v>
      </c>
      <c r="D195" s="245">
        <v>0</v>
      </c>
      <c r="E195" s="235">
        <v>0</v>
      </c>
      <c r="F195" s="573" t="str">
        <f t="shared" si="34"/>
        <v/>
      </c>
      <c r="G195" s="183" t="str">
        <f t="shared" si="35"/>
        <v/>
      </c>
      <c r="H195" s="235"/>
      <c r="I195" s="234"/>
      <c r="J195" s="573" t="str">
        <f t="shared" si="43"/>
        <v/>
      </c>
      <c r="K195" s="235" t="e">
        <f>#N/A</f>
        <v>#N/A</v>
      </c>
      <c r="L195" s="235" t="e">
        <f>#N/A</f>
        <v>#N/A</v>
      </c>
      <c r="M195" s="496" t="str">
        <f t="shared" si="42"/>
        <v/>
      </c>
      <c r="N195" s="37"/>
    </row>
    <row r="196" spans="1:14" ht="108" hidden="1" customHeight="1" x14ac:dyDescent="0.25">
      <c r="A196" s="199" t="s">
        <v>238</v>
      </c>
      <c r="B196" s="202">
        <v>41035300</v>
      </c>
      <c r="C196" s="64">
        <v>0</v>
      </c>
      <c r="D196" s="246"/>
      <c r="E196" s="64">
        <v>0</v>
      </c>
      <c r="F196" s="63" t="str">
        <f t="shared" si="34"/>
        <v/>
      </c>
      <c r="G196" s="63" t="str">
        <f t="shared" si="35"/>
        <v/>
      </c>
      <c r="H196" s="64"/>
      <c r="I196" s="210"/>
      <c r="J196" s="63" t="str">
        <f t="shared" si="43"/>
        <v/>
      </c>
      <c r="K196" s="64" t="e">
        <f>#N/A</f>
        <v>#N/A</v>
      </c>
      <c r="L196" s="64" t="e">
        <f>#N/A</f>
        <v>#N/A</v>
      </c>
      <c r="M196" s="63" t="str">
        <f t="shared" si="42"/>
        <v/>
      </c>
      <c r="N196" s="37"/>
    </row>
    <row r="197" spans="1:14" ht="98.25" hidden="1" customHeight="1" x14ac:dyDescent="0.25">
      <c r="A197" s="199" t="s">
        <v>239</v>
      </c>
      <c r="B197" s="202">
        <v>41035400</v>
      </c>
      <c r="C197" s="186">
        <v>0</v>
      </c>
      <c r="D197" s="234">
        <v>0</v>
      </c>
      <c r="E197" s="186">
        <v>0</v>
      </c>
      <c r="F197" s="183" t="str">
        <f t="shared" si="34"/>
        <v/>
      </c>
      <c r="G197" s="183" t="str">
        <f t="shared" si="35"/>
        <v/>
      </c>
      <c r="H197" s="186"/>
      <c r="I197" s="204"/>
      <c r="J197" s="183" t="str">
        <f t="shared" si="43"/>
        <v/>
      </c>
      <c r="K197" s="186" t="e">
        <f>#N/A</f>
        <v>#N/A</v>
      </c>
      <c r="L197" s="186" t="e">
        <f>#N/A</f>
        <v>#N/A</v>
      </c>
      <c r="M197" s="63" t="str">
        <f t="shared" si="42"/>
        <v/>
      </c>
      <c r="N197" s="37"/>
    </row>
    <row r="198" spans="1:14" ht="90" hidden="1" customHeight="1" x14ac:dyDescent="0.25">
      <c r="A198" s="199" t="s">
        <v>240</v>
      </c>
      <c r="B198" s="202">
        <v>41035800</v>
      </c>
      <c r="C198" s="186">
        <v>0</v>
      </c>
      <c r="D198" s="186">
        <v>0</v>
      </c>
      <c r="E198" s="186">
        <v>0</v>
      </c>
      <c r="F198" s="183" t="str">
        <f t="shared" si="34"/>
        <v/>
      </c>
      <c r="G198" s="183" t="str">
        <f t="shared" si="35"/>
        <v/>
      </c>
      <c r="H198" s="186"/>
      <c r="I198" s="204"/>
      <c r="J198" s="183" t="str">
        <f t="shared" si="43"/>
        <v/>
      </c>
      <c r="K198" s="186" t="e">
        <f>#N/A</f>
        <v>#N/A</v>
      </c>
      <c r="L198" s="186" t="e">
        <f>#N/A</f>
        <v>#N/A</v>
      </c>
      <c r="M198" s="63" t="str">
        <f t="shared" si="42"/>
        <v/>
      </c>
      <c r="N198" s="37" t="e">
        <f>SUM(C198:M198)</f>
        <v>#N/A</v>
      </c>
    </row>
    <row r="199" spans="1:14" ht="89.25" hidden="1" customHeight="1" x14ac:dyDescent="0.25">
      <c r="A199" s="199" t="s">
        <v>241</v>
      </c>
      <c r="B199" s="205">
        <v>41036300</v>
      </c>
      <c r="C199" s="50">
        <v>0</v>
      </c>
      <c r="D199" s="50"/>
      <c r="E199" s="84">
        <v>0</v>
      </c>
      <c r="F199" s="87" t="str">
        <f t="shared" si="34"/>
        <v/>
      </c>
      <c r="G199" s="87" t="str">
        <f t="shared" si="35"/>
        <v/>
      </c>
      <c r="H199" s="247"/>
      <c r="I199" s="248"/>
      <c r="J199" s="87" t="str">
        <f t="shared" si="43"/>
        <v/>
      </c>
      <c r="K199" s="84" t="e">
        <f>#N/A</f>
        <v>#N/A</v>
      </c>
      <c r="L199" s="84" t="e">
        <f>#N/A</f>
        <v>#N/A</v>
      </c>
      <c r="M199" s="63" t="str">
        <f t="shared" si="42"/>
        <v/>
      </c>
      <c r="N199" s="37" t="e">
        <f>SUM(C199:M199)</f>
        <v>#N/A</v>
      </c>
    </row>
    <row r="200" spans="1:14" ht="72.75" hidden="1" customHeight="1" x14ac:dyDescent="0.25">
      <c r="A200" s="214" t="s">
        <v>242</v>
      </c>
      <c r="B200" s="205">
        <v>41037000</v>
      </c>
      <c r="C200" s="50"/>
      <c r="D200" s="50"/>
      <c r="E200" s="84"/>
      <c r="F200" s="87" t="str">
        <f t="shared" si="34"/>
        <v/>
      </c>
      <c r="G200" s="148" t="str">
        <f t="shared" si="35"/>
        <v/>
      </c>
      <c r="H200" s="84"/>
      <c r="I200" s="248"/>
      <c r="J200" s="87" t="str">
        <f t="shared" si="43"/>
        <v/>
      </c>
      <c r="K200" s="84" t="e">
        <f>#N/A</f>
        <v>#N/A</v>
      </c>
      <c r="L200" s="84" t="e">
        <f>#N/A</f>
        <v>#N/A</v>
      </c>
      <c r="M200" s="63" t="str">
        <f t="shared" si="42"/>
        <v/>
      </c>
      <c r="N200" s="37"/>
    </row>
    <row r="201" spans="1:14" ht="117.75" hidden="1" customHeight="1" x14ac:dyDescent="0.25">
      <c r="A201" s="214" t="s">
        <v>243</v>
      </c>
      <c r="B201" s="205">
        <v>41036600</v>
      </c>
      <c r="C201" s="113"/>
      <c r="D201" s="50"/>
      <c r="E201" s="64"/>
      <c r="F201" s="63" t="str">
        <f t="shared" si="34"/>
        <v/>
      </c>
      <c r="G201" s="148" t="str">
        <f t="shared" si="35"/>
        <v/>
      </c>
      <c r="H201" s="64"/>
      <c r="I201" s="249"/>
      <c r="J201" s="63" t="str">
        <f t="shared" si="43"/>
        <v/>
      </c>
      <c r="K201" s="64" t="e">
        <f>#N/A</f>
        <v>#N/A</v>
      </c>
      <c r="L201" s="64" t="e">
        <f>#N/A</f>
        <v>#N/A</v>
      </c>
      <c r="M201" s="63" t="str">
        <f t="shared" si="42"/>
        <v/>
      </c>
      <c r="N201" s="37"/>
    </row>
    <row r="202" spans="1:14" ht="99.75" hidden="1" customHeight="1" x14ac:dyDescent="0.25">
      <c r="A202" s="214" t="s">
        <v>244</v>
      </c>
      <c r="B202" s="205">
        <v>41039700</v>
      </c>
      <c r="C202" s="84"/>
      <c r="D202" s="84">
        <v>0</v>
      </c>
      <c r="E202" s="84"/>
      <c r="F202" s="63" t="str">
        <f t="shared" si="34"/>
        <v/>
      </c>
      <c r="G202" s="63" t="str">
        <f t="shared" si="35"/>
        <v/>
      </c>
      <c r="H202" s="84"/>
      <c r="I202" s="250"/>
      <c r="J202" s="63" t="str">
        <f t="shared" si="43"/>
        <v/>
      </c>
      <c r="K202" s="64" t="e">
        <f>#N/A</f>
        <v>#N/A</v>
      </c>
      <c r="L202" s="64" t="e">
        <f>#N/A</f>
        <v>#N/A</v>
      </c>
      <c r="M202" s="63" t="str">
        <f t="shared" si="42"/>
        <v/>
      </c>
      <c r="N202" s="37" t="e">
        <f>SUM(C202:M202)</f>
        <v>#N/A</v>
      </c>
    </row>
    <row r="203" spans="1:14" ht="90.75" hidden="1" customHeight="1" x14ac:dyDescent="0.25">
      <c r="A203" s="214" t="s">
        <v>245</v>
      </c>
      <c r="B203" s="205">
        <v>41038200</v>
      </c>
      <c r="C203" s="50"/>
      <c r="D203" s="50"/>
      <c r="E203" s="84"/>
      <c r="F203" s="87" t="str">
        <f t="shared" si="34"/>
        <v/>
      </c>
      <c r="G203" s="87" t="str">
        <f t="shared" si="35"/>
        <v/>
      </c>
      <c r="H203" s="84"/>
      <c r="I203" s="248"/>
      <c r="J203" s="63" t="str">
        <f t="shared" si="43"/>
        <v/>
      </c>
      <c r="K203" s="84"/>
      <c r="L203" s="84"/>
      <c r="M203" s="63" t="str">
        <f t="shared" si="42"/>
        <v/>
      </c>
      <c r="N203" s="37">
        <f>SUM(C203:M203)</f>
        <v>0</v>
      </c>
    </row>
    <row r="204" spans="1:14" ht="78" hidden="1" customHeight="1" x14ac:dyDescent="0.25">
      <c r="A204" s="214" t="s">
        <v>246</v>
      </c>
      <c r="B204" s="205">
        <v>41037100</v>
      </c>
      <c r="C204" s="50"/>
      <c r="D204" s="50"/>
      <c r="E204" s="84"/>
      <c r="F204" s="87" t="str">
        <f t="shared" si="34"/>
        <v/>
      </c>
      <c r="G204" s="87" t="str">
        <f t="shared" si="35"/>
        <v/>
      </c>
      <c r="H204" s="84"/>
      <c r="I204" s="248"/>
      <c r="J204" s="63" t="str">
        <f t="shared" si="43"/>
        <v/>
      </c>
      <c r="K204" s="84"/>
      <c r="L204" s="84"/>
      <c r="M204" s="63" t="str">
        <f t="shared" si="42"/>
        <v/>
      </c>
      <c r="N204" s="37">
        <f>SUM(C204:M204)</f>
        <v>0</v>
      </c>
    </row>
    <row r="205" spans="1:14" ht="70.5" hidden="1" customHeight="1" x14ac:dyDescent="0.25">
      <c r="A205" s="199" t="s">
        <v>247</v>
      </c>
      <c r="B205" s="202">
        <v>41036600</v>
      </c>
      <c r="C205" s="186">
        <v>0</v>
      </c>
      <c r="D205" s="186">
        <v>0</v>
      </c>
      <c r="E205" s="186">
        <v>0</v>
      </c>
      <c r="F205" s="183" t="str">
        <f t="shared" si="34"/>
        <v/>
      </c>
      <c r="G205" s="251" t="str">
        <f t="shared" si="35"/>
        <v/>
      </c>
      <c r="H205" s="186">
        <v>0</v>
      </c>
      <c r="I205" s="186"/>
      <c r="J205" s="183" t="str">
        <f t="shared" si="43"/>
        <v/>
      </c>
      <c r="K205" s="186" t="e">
        <f>#N/A</f>
        <v>#N/A</v>
      </c>
      <c r="L205" s="186" t="e">
        <f>#N/A</f>
        <v>#N/A</v>
      </c>
      <c r="M205" s="63" t="str">
        <f t="shared" si="42"/>
        <v/>
      </c>
      <c r="N205" s="37" t="e">
        <f>SUM(C205:M205)</f>
        <v>#N/A</v>
      </c>
    </row>
    <row r="206" spans="1:14" ht="65.25" hidden="1" customHeight="1" x14ac:dyDescent="0.25">
      <c r="A206" s="214" t="s">
        <v>248</v>
      </c>
      <c r="B206" s="205">
        <v>41037000</v>
      </c>
      <c r="C206" s="113"/>
      <c r="D206" s="50">
        <v>0</v>
      </c>
      <c r="E206" s="64"/>
      <c r="F206" s="63" t="str">
        <f t="shared" si="34"/>
        <v/>
      </c>
      <c r="G206" s="63" t="str">
        <f t="shared" si="35"/>
        <v/>
      </c>
      <c r="H206" s="84"/>
      <c r="I206" s="248"/>
      <c r="J206" s="63" t="str">
        <f t="shared" si="43"/>
        <v/>
      </c>
      <c r="K206" s="84" t="e">
        <f>#N/A</f>
        <v>#N/A</v>
      </c>
      <c r="L206" s="84" t="e">
        <f>#N/A</f>
        <v>#N/A</v>
      </c>
      <c r="M206" s="63" t="str">
        <f t="shared" si="42"/>
        <v/>
      </c>
      <c r="N206" s="37" t="e">
        <f>SUM(C206:M206)</f>
        <v>#N/A</v>
      </c>
    </row>
    <row r="207" spans="1:14" ht="47.25" hidden="1" customHeight="1" x14ac:dyDescent="0.25">
      <c r="A207" s="214" t="s">
        <v>249</v>
      </c>
      <c r="B207" s="205">
        <v>43000000</v>
      </c>
      <c r="C207" s="113"/>
      <c r="D207" s="252"/>
      <c r="E207" s="64"/>
      <c r="F207" s="87" t="str">
        <f t="shared" si="34"/>
        <v/>
      </c>
      <c r="G207" s="253" t="str">
        <f t="shared" si="35"/>
        <v/>
      </c>
      <c r="H207" s="64">
        <f>H208</f>
        <v>0</v>
      </c>
      <c r="I207" s="64">
        <f>I208</f>
        <v>0</v>
      </c>
      <c r="J207" s="87" t="str">
        <f t="shared" si="43"/>
        <v/>
      </c>
      <c r="K207" s="84" t="e">
        <f>#N/A</f>
        <v>#N/A</v>
      </c>
      <c r="L207" s="84" t="e">
        <f>#N/A</f>
        <v>#N/A</v>
      </c>
      <c r="M207" s="63" t="str">
        <f t="shared" si="42"/>
        <v/>
      </c>
      <c r="N207" s="37"/>
    </row>
    <row r="208" spans="1:14" ht="48" hidden="1" customHeight="1" x14ac:dyDescent="0.25">
      <c r="A208" s="214" t="s">
        <v>250</v>
      </c>
      <c r="B208" s="205">
        <v>43010000</v>
      </c>
      <c r="C208" s="113"/>
      <c r="D208" s="252"/>
      <c r="E208" s="64"/>
      <c r="F208" s="87" t="str">
        <f t="shared" si="34"/>
        <v/>
      </c>
      <c r="G208" s="253" t="str">
        <f t="shared" si="35"/>
        <v/>
      </c>
      <c r="H208" s="64"/>
      <c r="I208" s="249"/>
      <c r="J208" s="87" t="str">
        <f t="shared" si="43"/>
        <v/>
      </c>
      <c r="K208" s="84" t="e">
        <f>#N/A</f>
        <v>#N/A</v>
      </c>
      <c r="L208" s="84" t="e">
        <f>#N/A</f>
        <v>#N/A</v>
      </c>
      <c r="M208" s="63" t="str">
        <f t="shared" si="42"/>
        <v/>
      </c>
      <c r="N208" s="37"/>
    </row>
    <row r="209" spans="1:16" ht="84.75" hidden="1" customHeight="1" x14ac:dyDescent="0.25">
      <c r="A209" s="214" t="s">
        <v>251</v>
      </c>
      <c r="B209" s="205">
        <v>41037800</v>
      </c>
      <c r="C209" s="113">
        <v>0</v>
      </c>
      <c r="D209" s="252"/>
      <c r="E209" s="64">
        <v>0</v>
      </c>
      <c r="F209" s="87" t="str">
        <f t="shared" si="34"/>
        <v/>
      </c>
      <c r="G209" s="253" t="str">
        <f t="shared" si="35"/>
        <v/>
      </c>
      <c r="H209" s="64"/>
      <c r="I209" s="249"/>
      <c r="J209" s="87" t="str">
        <f t="shared" si="43"/>
        <v/>
      </c>
      <c r="K209" s="84" t="e">
        <f>#N/A</f>
        <v>#N/A</v>
      </c>
      <c r="L209" s="84" t="e">
        <f>#N/A</f>
        <v>#N/A</v>
      </c>
      <c r="M209" s="63" t="str">
        <f t="shared" si="42"/>
        <v/>
      </c>
      <c r="N209" s="37" t="e">
        <f>SUM(C209:M209)</f>
        <v>#N/A</v>
      </c>
    </row>
    <row r="210" spans="1:16" ht="57" hidden="1" customHeight="1" x14ac:dyDescent="0.25">
      <c r="A210" s="214" t="s">
        <v>252</v>
      </c>
      <c r="B210" s="205">
        <v>41036100</v>
      </c>
      <c r="C210" s="254">
        <v>0</v>
      </c>
      <c r="D210" s="254">
        <v>0</v>
      </c>
      <c r="E210" s="254">
        <v>0</v>
      </c>
      <c r="F210" s="183" t="str">
        <f t="shared" si="34"/>
        <v/>
      </c>
      <c r="G210" s="255" t="str">
        <f t="shared" si="35"/>
        <v/>
      </c>
      <c r="H210" s="186"/>
      <c r="I210" s="256"/>
      <c r="J210" s="257" t="str">
        <f t="shared" si="43"/>
        <v/>
      </c>
      <c r="K210" s="258" t="e">
        <f>#N/A</f>
        <v>#N/A</v>
      </c>
      <c r="L210" s="258" t="e">
        <f>#N/A</f>
        <v>#N/A</v>
      </c>
      <c r="M210" s="63" t="str">
        <f t="shared" si="42"/>
        <v/>
      </c>
      <c r="N210" s="37"/>
    </row>
    <row r="211" spans="1:16" ht="44.25" hidden="1" customHeight="1" x14ac:dyDescent="0.25">
      <c r="A211" s="259" t="s">
        <v>193</v>
      </c>
      <c r="B211" s="260">
        <v>42030300</v>
      </c>
      <c r="C211" s="97"/>
      <c r="D211" s="97"/>
      <c r="E211" s="97"/>
      <c r="F211" s="61" t="str">
        <f t="shared" si="34"/>
        <v/>
      </c>
      <c r="G211" s="261" t="str">
        <f t="shared" si="35"/>
        <v/>
      </c>
      <c r="H211" s="174">
        <v>0</v>
      </c>
      <c r="I211" s="262">
        <v>0</v>
      </c>
      <c r="J211" s="136" t="str">
        <f t="shared" si="43"/>
        <v/>
      </c>
      <c r="K211" s="138"/>
      <c r="L211" s="138"/>
      <c r="M211" s="61" t="str">
        <f t="shared" si="42"/>
        <v/>
      </c>
      <c r="N211" s="37"/>
    </row>
    <row r="212" spans="1:16" ht="84.75" hidden="1" customHeight="1" x14ac:dyDescent="0.25">
      <c r="A212" s="263" t="s">
        <v>253</v>
      </c>
      <c r="B212" s="260">
        <v>41054200</v>
      </c>
      <c r="C212" s="97"/>
      <c r="D212" s="97"/>
      <c r="E212" s="97"/>
      <c r="F212" s="104" t="str">
        <f t="shared" si="34"/>
        <v/>
      </c>
      <c r="G212" s="61" t="str">
        <f t="shared" si="35"/>
        <v/>
      </c>
      <c r="H212" s="97"/>
      <c r="I212" s="262">
        <f>I213</f>
        <v>0</v>
      </c>
      <c r="J212" s="264" t="str">
        <f t="shared" si="43"/>
        <v/>
      </c>
      <c r="K212" s="113">
        <f>SUM(C212,H212)</f>
        <v>0</v>
      </c>
      <c r="L212" s="113">
        <f>SUM(I212,E212)</f>
        <v>0</v>
      </c>
      <c r="M212" s="49" t="str">
        <f t="shared" si="42"/>
        <v/>
      </c>
      <c r="N212" s="37"/>
    </row>
    <row r="213" spans="1:16" ht="55.5" hidden="1" customHeight="1" x14ac:dyDescent="0.25">
      <c r="A213" s="78" t="s">
        <v>254</v>
      </c>
      <c r="B213" s="260">
        <v>41054300</v>
      </c>
      <c r="C213" s="265"/>
      <c r="D213" s="265"/>
      <c r="E213" s="265"/>
      <c r="F213" s="104" t="str">
        <f t="shared" si="34"/>
        <v/>
      </c>
      <c r="G213" s="61" t="str">
        <f t="shared" si="35"/>
        <v/>
      </c>
      <c r="H213" s="240"/>
      <c r="I213" s="266">
        <v>0</v>
      </c>
      <c r="J213" s="136" t="str">
        <f t="shared" si="43"/>
        <v/>
      </c>
      <c r="K213" s="113">
        <f>SUM(C213,H213)</f>
        <v>0</v>
      </c>
      <c r="L213" s="113">
        <f>SUM(I213,E213)</f>
        <v>0</v>
      </c>
      <c r="M213" s="49" t="str">
        <f t="shared" si="42"/>
        <v/>
      </c>
      <c r="N213" s="37"/>
    </row>
    <row r="214" spans="1:16" ht="45" hidden="1" customHeight="1" x14ac:dyDescent="0.25">
      <c r="A214" s="78" t="s">
        <v>255</v>
      </c>
      <c r="B214" s="260">
        <v>41055000</v>
      </c>
      <c r="C214" s="267"/>
      <c r="D214" s="265"/>
      <c r="E214" s="267"/>
      <c r="F214" s="104" t="str">
        <f t="shared" si="34"/>
        <v/>
      </c>
      <c r="G214" s="61" t="str">
        <f t="shared" si="35"/>
        <v/>
      </c>
      <c r="H214" s="244"/>
      <c r="I214" s="268"/>
      <c r="J214" s="61" t="str">
        <f t="shared" si="43"/>
        <v/>
      </c>
      <c r="K214" s="113">
        <f>SUM(C214,H214)</f>
        <v>0</v>
      </c>
      <c r="L214" s="113">
        <f>SUM(I214,E214)</f>
        <v>0</v>
      </c>
      <c r="M214" s="49" t="str">
        <f t="shared" si="42"/>
        <v/>
      </c>
      <c r="N214" s="37"/>
    </row>
    <row r="215" spans="1:16" ht="42.75" hidden="1" customHeight="1" x14ac:dyDescent="0.25">
      <c r="A215" s="663" t="s">
        <v>256</v>
      </c>
      <c r="B215" s="664">
        <v>41055100</v>
      </c>
      <c r="C215" s="265"/>
      <c r="D215" s="265"/>
      <c r="E215" s="265"/>
      <c r="F215" s="624" t="str">
        <f t="shared" si="34"/>
        <v/>
      </c>
      <c r="G215" s="61" t="str">
        <f t="shared" si="35"/>
        <v/>
      </c>
      <c r="H215" s="240"/>
      <c r="I215" s="266"/>
      <c r="J215" s="638" t="str">
        <f t="shared" si="43"/>
        <v/>
      </c>
      <c r="K215" s="628">
        <f>SUM(C215,H215)</f>
        <v>0</v>
      </c>
      <c r="L215" s="628">
        <f>SUM(I215,E215)</f>
        <v>0</v>
      </c>
      <c r="M215" s="642" t="str">
        <f t="shared" si="42"/>
        <v/>
      </c>
      <c r="N215" s="37"/>
    </row>
    <row r="216" spans="1:16" ht="40.5" customHeight="1" x14ac:dyDescent="0.25">
      <c r="A216" s="78" t="s">
        <v>688</v>
      </c>
      <c r="B216" s="260">
        <v>41057700</v>
      </c>
      <c r="C216" s="34">
        <v>187.1</v>
      </c>
      <c r="D216" s="80">
        <v>136.75200000000001</v>
      </c>
      <c r="E216" s="34">
        <v>103.94499999999999</v>
      </c>
      <c r="F216" s="115">
        <f t="shared" si="34"/>
        <v>0.55555852485301971</v>
      </c>
      <c r="G216" s="583">
        <f t="shared" si="35"/>
        <v>0.7600985725985725</v>
      </c>
      <c r="H216" s="35"/>
      <c r="I216" s="34"/>
      <c r="J216" s="118" t="str">
        <f t="shared" si="43"/>
        <v/>
      </c>
      <c r="K216" s="34">
        <f>SUM(C216,H216)</f>
        <v>187.1</v>
      </c>
      <c r="L216" s="34">
        <f>SUM(I216,E216)</f>
        <v>103.94499999999999</v>
      </c>
      <c r="M216" s="115">
        <f t="shared" si="42"/>
        <v>0.55555852485301971</v>
      </c>
      <c r="N216" s="37"/>
    </row>
    <row r="217" spans="1:16" s="273" customFormat="1" ht="27" customHeight="1" x14ac:dyDescent="0.25">
      <c r="A217" s="269" t="s">
        <v>257</v>
      </c>
      <c r="B217" s="270">
        <v>900103</v>
      </c>
      <c r="C217" s="190">
        <f>C151+C155+C175+C172+C153</f>
        <v>4546965.8610000005</v>
      </c>
      <c r="D217" s="588">
        <f>D151+D155+D175+D172+D153</f>
        <v>3332671.5659999996</v>
      </c>
      <c r="E217" s="190">
        <f>E151+E155+E175+E172+E153</f>
        <v>3612376.1366900001</v>
      </c>
      <c r="F217" s="191">
        <f t="shared" si="34"/>
        <v>0.794458600992342</v>
      </c>
      <c r="G217" s="596">
        <f t="shared" si="35"/>
        <v>1.0839280334562678</v>
      </c>
      <c r="H217" s="190">
        <f>H151+H155+H175+H172</f>
        <v>525754.06276</v>
      </c>
      <c r="I217" s="190">
        <f>I151+I155+I175+I172+I211+I212</f>
        <v>175250.36103999999</v>
      </c>
      <c r="J217" s="271">
        <f t="shared" si="43"/>
        <v>0.33333144421177691</v>
      </c>
      <c r="K217" s="190">
        <f>SUM(H217,C217)</f>
        <v>5072719.9237600006</v>
      </c>
      <c r="L217" s="190">
        <f>E217+I217</f>
        <v>3787626.4977299999</v>
      </c>
      <c r="M217" s="191">
        <f t="shared" si="42"/>
        <v>0.74666580348527034</v>
      </c>
      <c r="N217" s="37">
        <f>SUM(C217:M217)</f>
        <v>21053367.367363881</v>
      </c>
      <c r="O217" s="272"/>
      <c r="P217" s="272"/>
    </row>
    <row r="218" spans="1:16" ht="15.6" hidden="1" x14ac:dyDescent="0.25">
      <c r="A218" s="767" t="s">
        <v>258</v>
      </c>
      <c r="B218" s="768"/>
      <c r="C218" s="227"/>
      <c r="D218" s="275"/>
      <c r="E218" s="227"/>
      <c r="F218" s="759" t="str">
        <f t="shared" si="34"/>
        <v/>
      </c>
      <c r="G218" s="54" t="str">
        <f t="shared" si="35"/>
        <v/>
      </c>
      <c r="H218" s="227"/>
      <c r="I218" s="227"/>
      <c r="J218" s="759" t="str">
        <f t="shared" si="43"/>
        <v/>
      </c>
      <c r="K218" s="227"/>
      <c r="L218" s="769">
        <f>E218+I218</f>
        <v>0</v>
      </c>
      <c r="M218" s="758" t="str">
        <f t="shared" si="42"/>
        <v/>
      </c>
      <c r="N218" s="37">
        <v>10</v>
      </c>
    </row>
    <row r="219" spans="1:16" ht="15.6" hidden="1" x14ac:dyDescent="0.25">
      <c r="A219" s="665" t="s">
        <v>259</v>
      </c>
      <c r="B219" s="666"/>
      <c r="C219" s="240"/>
      <c r="D219" s="174"/>
      <c r="E219" s="240"/>
      <c r="F219" s="625" t="str">
        <f t="shared" si="34"/>
        <v/>
      </c>
      <c r="G219" s="54" t="str">
        <f t="shared" si="35"/>
        <v/>
      </c>
      <c r="H219" s="240"/>
      <c r="I219" s="240"/>
      <c r="J219" s="625" t="str">
        <f t="shared" si="43"/>
        <v/>
      </c>
      <c r="K219" s="240"/>
      <c r="L219" s="667">
        <f>E219+I219</f>
        <v>0</v>
      </c>
      <c r="M219" s="624" t="str">
        <f t="shared" si="42"/>
        <v/>
      </c>
      <c r="N219" s="37">
        <v>10</v>
      </c>
    </row>
    <row r="220" spans="1:16" s="27" customFormat="1" ht="13.8" x14ac:dyDescent="0.25">
      <c r="A220" s="21" t="s">
        <v>260</v>
      </c>
      <c r="B220" s="276" t="s">
        <v>261</v>
      </c>
      <c r="C220" s="23">
        <f>SUM(C226:C228)</f>
        <v>389923.08184999996</v>
      </c>
      <c r="D220" s="577">
        <f>SUM(D226:D228)</f>
        <v>297979.09656000003</v>
      </c>
      <c r="E220" s="23">
        <f>SUM(E226:E228)</f>
        <v>299322.13268000004</v>
      </c>
      <c r="F220" s="25">
        <f t="shared" si="34"/>
        <v>0.76764404728198854</v>
      </c>
      <c r="G220" s="579">
        <f t="shared" si="35"/>
        <v>1.0045071487748791</v>
      </c>
      <c r="H220" s="23">
        <f>SUM(H226:H227)</f>
        <v>12491.38228</v>
      </c>
      <c r="I220" s="23">
        <f>SUM(I226:I227)</f>
        <v>9885.1994600000016</v>
      </c>
      <c r="J220" s="25">
        <f t="shared" si="43"/>
        <v>0.79136153537044751</v>
      </c>
      <c r="K220" s="23">
        <f>SUM(H220,C220)</f>
        <v>402414.46412999998</v>
      </c>
      <c r="L220" s="23">
        <f>E220+I220</f>
        <v>309207.33214000001</v>
      </c>
      <c r="M220" s="25">
        <f t="shared" si="42"/>
        <v>0.76838026388661462</v>
      </c>
      <c r="N220" s="26">
        <f>SUM(C220:M220)</f>
        <v>1721226.0209929952</v>
      </c>
    </row>
    <row r="221" spans="1:16" ht="15" hidden="1" customHeight="1" x14ac:dyDescent="0.25">
      <c r="A221" s="770" t="s">
        <v>262</v>
      </c>
      <c r="B221" s="771" t="s">
        <v>263</v>
      </c>
      <c r="C221" s="83">
        <f>C226</f>
        <v>378701.76376999996</v>
      </c>
      <c r="D221" s="83"/>
      <c r="E221" s="83">
        <f>E226</f>
        <v>291543.48559000005</v>
      </c>
      <c r="F221" s="496">
        <f t="shared" si="34"/>
        <v>0.76984982242402633</v>
      </c>
      <c r="G221" s="63" t="str">
        <f t="shared" si="35"/>
        <v/>
      </c>
      <c r="H221" s="83">
        <f>H226</f>
        <v>12491.38228</v>
      </c>
      <c r="I221" s="83">
        <f>I226</f>
        <v>9885.1994600000016</v>
      </c>
      <c r="J221" s="496">
        <f t="shared" si="43"/>
        <v>0.79136153537044751</v>
      </c>
      <c r="K221" s="132" t="e">
        <f>#N/A</f>
        <v>#N/A</v>
      </c>
      <c r="L221" s="132" t="e">
        <f>#N/A</f>
        <v>#N/A</v>
      </c>
      <c r="M221" s="496" t="str">
        <f t="shared" si="42"/>
        <v/>
      </c>
      <c r="N221" s="37">
        <v>0</v>
      </c>
    </row>
    <row r="222" spans="1:16" ht="14.25" hidden="1" customHeight="1" x14ac:dyDescent="0.25">
      <c r="A222" s="98" t="s">
        <v>264</v>
      </c>
      <c r="B222" s="278" t="s">
        <v>265</v>
      </c>
      <c r="C222" s="86"/>
      <c r="D222" s="86"/>
      <c r="E222" s="86"/>
      <c r="F222" s="63" t="str">
        <f t="shared" si="34"/>
        <v/>
      </c>
      <c r="G222" s="63" t="str">
        <f t="shared" si="35"/>
        <v/>
      </c>
      <c r="H222" s="86"/>
      <c r="I222" s="86"/>
      <c r="J222" s="63" t="str">
        <f t="shared" si="43"/>
        <v/>
      </c>
      <c r="K222" s="84" t="e">
        <f>#N/A</f>
        <v>#N/A</v>
      </c>
      <c r="L222" s="84" t="e">
        <f>#N/A</f>
        <v>#N/A</v>
      </c>
      <c r="M222" s="63" t="str">
        <f t="shared" si="42"/>
        <v/>
      </c>
      <c r="N222" s="37" t="e">
        <f>SUM(C222:M222)</f>
        <v>#N/A</v>
      </c>
    </row>
    <row r="223" spans="1:16" ht="14.25" hidden="1" customHeight="1" x14ac:dyDescent="0.25">
      <c r="A223" s="98" t="s">
        <v>266</v>
      </c>
      <c r="B223" s="278" t="s">
        <v>267</v>
      </c>
      <c r="C223" s="86"/>
      <c r="D223" s="86"/>
      <c r="E223" s="86"/>
      <c r="F223" s="63" t="str">
        <f t="shared" si="34"/>
        <v/>
      </c>
      <c r="G223" s="63" t="str">
        <f t="shared" si="35"/>
        <v/>
      </c>
      <c r="H223" s="86"/>
      <c r="I223" s="86"/>
      <c r="J223" s="63" t="str">
        <f t="shared" si="43"/>
        <v/>
      </c>
      <c r="K223" s="84" t="e">
        <f>#N/A</f>
        <v>#N/A</v>
      </c>
      <c r="L223" s="84" t="e">
        <f>#N/A</f>
        <v>#N/A</v>
      </c>
      <c r="M223" s="63" t="str">
        <f t="shared" si="42"/>
        <v/>
      </c>
      <c r="N223" s="37" t="e">
        <f>SUM(C223:M223)</f>
        <v>#N/A</v>
      </c>
    </row>
    <row r="224" spans="1:16" ht="14.25" hidden="1" customHeight="1" x14ac:dyDescent="0.25">
      <c r="A224" s="98" t="s">
        <v>268</v>
      </c>
      <c r="B224" s="278" t="s">
        <v>269</v>
      </c>
      <c r="C224" s="86"/>
      <c r="D224" s="86"/>
      <c r="E224" s="86"/>
      <c r="F224" s="63" t="str">
        <f t="shared" si="34"/>
        <v/>
      </c>
      <c r="G224" s="63" t="str">
        <f t="shared" si="35"/>
        <v/>
      </c>
      <c r="H224" s="86"/>
      <c r="I224" s="86"/>
      <c r="J224" s="63" t="str">
        <f t="shared" si="43"/>
        <v/>
      </c>
      <c r="K224" s="84" t="e">
        <f>#N/A</f>
        <v>#N/A</v>
      </c>
      <c r="L224" s="84" t="e">
        <f>#N/A</f>
        <v>#N/A</v>
      </c>
      <c r="M224" s="63" t="str">
        <f t="shared" si="42"/>
        <v/>
      </c>
      <c r="N224" s="37" t="e">
        <f>SUM(C224:M224)</f>
        <v>#N/A</v>
      </c>
    </row>
    <row r="225" spans="1:20" ht="21.75" hidden="1" customHeight="1" x14ac:dyDescent="0.25">
      <c r="A225" s="622" t="s">
        <v>270</v>
      </c>
      <c r="B225" s="668" t="s">
        <v>271</v>
      </c>
      <c r="C225" s="101"/>
      <c r="D225" s="101"/>
      <c r="E225" s="101"/>
      <c r="F225" s="499" t="str">
        <f t="shared" si="34"/>
        <v/>
      </c>
      <c r="G225" s="63" t="str">
        <f t="shared" si="35"/>
        <v/>
      </c>
      <c r="H225" s="101"/>
      <c r="I225" s="101"/>
      <c r="J225" s="499" t="str">
        <f t="shared" si="43"/>
        <v/>
      </c>
      <c r="K225" s="216" t="e">
        <f>#N/A</f>
        <v>#N/A</v>
      </c>
      <c r="L225" s="216" t="e">
        <f>#N/A</f>
        <v>#N/A</v>
      </c>
      <c r="M225" s="499" t="str">
        <f t="shared" si="42"/>
        <v/>
      </c>
      <c r="N225" s="37">
        <v>0</v>
      </c>
    </row>
    <row r="226" spans="1:20" ht="32.25" customHeight="1" x14ac:dyDescent="0.25">
      <c r="A226" s="78" t="s">
        <v>272</v>
      </c>
      <c r="B226" s="279" t="s">
        <v>273</v>
      </c>
      <c r="C226" s="34">
        <v>378701.76376999996</v>
      </c>
      <c r="D226" s="80">
        <v>287822.83916000003</v>
      </c>
      <c r="E226" s="34">
        <v>291543.48559000005</v>
      </c>
      <c r="F226" s="19">
        <f t="shared" si="34"/>
        <v>0.76984982242402633</v>
      </c>
      <c r="G226" s="583">
        <f t="shared" si="35"/>
        <v>1.0129268630691663</v>
      </c>
      <c r="H226" s="35">
        <v>12491.38228</v>
      </c>
      <c r="I226" s="35">
        <v>9885.1994600000016</v>
      </c>
      <c r="J226" s="19">
        <f t="shared" si="43"/>
        <v>0.79136153537044751</v>
      </c>
      <c r="K226" s="35">
        <f>SUM(H226,C226)</f>
        <v>391193.14604999998</v>
      </c>
      <c r="L226" s="35">
        <f>E226+I226</f>
        <v>301428.68505000003</v>
      </c>
      <c r="M226" s="115">
        <f t="shared" si="42"/>
        <v>0.7705367235945213</v>
      </c>
      <c r="N226" s="37" t="e">
        <f>#N/A</f>
        <v>#N/A</v>
      </c>
      <c r="O226" s="280"/>
      <c r="P226" s="198"/>
    </row>
    <row r="227" spans="1:20" ht="24.75" customHeight="1" x14ac:dyDescent="0.25">
      <c r="A227" s="120" t="s">
        <v>274</v>
      </c>
      <c r="B227" s="279" t="s">
        <v>275</v>
      </c>
      <c r="C227" s="34">
        <v>11221.318080000001</v>
      </c>
      <c r="D227" s="80">
        <v>10156.2574</v>
      </c>
      <c r="E227" s="34">
        <v>7778.6470899999995</v>
      </c>
      <c r="F227" s="19">
        <f t="shared" si="34"/>
        <v>0.69320261974072828</v>
      </c>
      <c r="G227" s="583">
        <f t="shared" si="35"/>
        <v>0.76589700158643081</v>
      </c>
      <c r="H227" s="35"/>
      <c r="I227" s="35"/>
      <c r="J227" s="19" t="str">
        <f t="shared" si="43"/>
        <v/>
      </c>
      <c r="K227" s="35">
        <f>SUM(H227,C227)</f>
        <v>11221.318080000001</v>
      </c>
      <c r="L227" s="35">
        <f>E227+I227</f>
        <v>7778.6470899999995</v>
      </c>
      <c r="M227" s="115">
        <f t="shared" si="42"/>
        <v>0.69320261974072828</v>
      </c>
      <c r="N227" s="37" t="e">
        <f>#N/A</f>
        <v>#N/A</v>
      </c>
    </row>
    <row r="228" spans="1:20" ht="30" hidden="1" customHeight="1" x14ac:dyDescent="0.25">
      <c r="A228" s="772" t="s">
        <v>276</v>
      </c>
      <c r="B228" s="773" t="s">
        <v>277</v>
      </c>
      <c r="C228" s="73">
        <v>0</v>
      </c>
      <c r="D228" s="156"/>
      <c r="E228" s="73">
        <v>0</v>
      </c>
      <c r="F228" s="565" t="str">
        <f t="shared" si="34"/>
        <v/>
      </c>
      <c r="G228" s="84" t="str">
        <f t="shared" si="35"/>
        <v/>
      </c>
      <c r="H228" s="73"/>
      <c r="I228" s="73"/>
      <c r="J228" s="565" t="str">
        <f t="shared" si="43"/>
        <v/>
      </c>
      <c r="K228" s="774">
        <f>SUM(H228,C228)</f>
        <v>0</v>
      </c>
      <c r="L228" s="774">
        <f>E228+I228</f>
        <v>0</v>
      </c>
      <c r="M228" s="775" t="str">
        <f t="shared" si="42"/>
        <v/>
      </c>
      <c r="N228" s="37" t="e">
        <f>#N/A</f>
        <v>#N/A</v>
      </c>
    </row>
    <row r="229" spans="1:20" s="27" customFormat="1" ht="15.6" x14ac:dyDescent="0.25">
      <c r="A229" s="21" t="s">
        <v>278</v>
      </c>
      <c r="B229" s="22" t="s">
        <v>279</v>
      </c>
      <c r="C229" s="34">
        <v>2001897.4114999999</v>
      </c>
      <c r="D229" s="80">
        <v>1442939.2873699998</v>
      </c>
      <c r="E229" s="34">
        <v>1374155.2613199996</v>
      </c>
      <c r="F229" s="25">
        <f t="shared" si="34"/>
        <v>0.68642641397411075</v>
      </c>
      <c r="G229" s="580">
        <f t="shared" si="35"/>
        <v>0.95233061664335805</v>
      </c>
      <c r="H229" s="15">
        <v>312042.32312000002</v>
      </c>
      <c r="I229" s="281">
        <v>158813.71227000002</v>
      </c>
      <c r="J229" s="25">
        <f t="shared" si="43"/>
        <v>0.50894926906734406</v>
      </c>
      <c r="K229" s="23">
        <f>SUM(H229,C229)-0.02</f>
        <v>2313939.7146199998</v>
      </c>
      <c r="L229" s="23">
        <f>E229+I229+0.02</f>
        <v>1532968.9935899996</v>
      </c>
      <c r="M229" s="25">
        <f t="shared" si="42"/>
        <v>0.66249305628160982</v>
      </c>
      <c r="N229" s="26" t="e">
        <f>#N/A</f>
        <v>#N/A</v>
      </c>
      <c r="O229" s="280"/>
      <c r="P229" s="198"/>
    </row>
    <row r="230" spans="1:20" s="27" customFormat="1" ht="13.8" x14ac:dyDescent="0.25">
      <c r="A230" s="21" t="s">
        <v>280</v>
      </c>
      <c r="B230" s="22" t="s">
        <v>281</v>
      </c>
      <c r="C230" s="34">
        <v>176461.70600000001</v>
      </c>
      <c r="D230" s="80">
        <v>134689.50149</v>
      </c>
      <c r="E230" s="34">
        <v>135194.57020000002</v>
      </c>
      <c r="F230" s="25">
        <f t="shared" si="34"/>
        <v>0.76614112639260112</v>
      </c>
      <c r="G230" s="580">
        <f t="shared" si="35"/>
        <v>1.003749874373375</v>
      </c>
      <c r="H230" s="15">
        <v>159477.21162000002</v>
      </c>
      <c r="I230" s="15">
        <v>101309.09806999999</v>
      </c>
      <c r="J230" s="25">
        <f t="shared" si="43"/>
        <v>0.6352575207509763</v>
      </c>
      <c r="K230" s="23">
        <f>SUM(H230,C230)</f>
        <v>335938.91762000002</v>
      </c>
      <c r="L230" s="23">
        <f>E230+I230</f>
        <v>236503.66827000002</v>
      </c>
      <c r="M230" s="25">
        <f t="shared" si="42"/>
        <v>0.70400794866381933</v>
      </c>
      <c r="N230" s="26" t="e">
        <f>#N/A</f>
        <v>#N/A</v>
      </c>
      <c r="O230" s="26"/>
      <c r="P230" s="198"/>
    </row>
    <row r="231" spans="1:20" s="27" customFormat="1" ht="13.8" x14ac:dyDescent="0.25">
      <c r="A231" s="21" t="s">
        <v>282</v>
      </c>
      <c r="B231" s="22" t="s">
        <v>283</v>
      </c>
      <c r="C231" s="23">
        <f>C237+C238+C240+C243+C244+C246+C248+C251+C252+C254+C259+C247+C260+C232+C255+C241+C242</f>
        <v>252842.42380199995</v>
      </c>
      <c r="D231" s="577">
        <f>D237+D238+D240+D243+D244+D246+D248+D251+D252+D254+D259+D247+D260+D232+D255+D241+D242</f>
        <v>198327.84164999999</v>
      </c>
      <c r="E231" s="23">
        <f>E237+E238+E240+E243+E244+E246+E248+E251+E252+E254+E259+E247+E260+E232+E255+E241+E242</f>
        <v>204477.03232999999</v>
      </c>
      <c r="F231" s="25">
        <f t="shared" si="34"/>
        <v>0.80871330552552079</v>
      </c>
      <c r="G231" s="581">
        <f t="shared" si="35"/>
        <v>1.0310051812637169</v>
      </c>
      <c r="H231" s="23">
        <f>H237+H238+H240+H243+H244+H246+H248+H251+H252+H254+H259+H247+H260+H232+H255+H241</f>
        <v>181773.64871000001</v>
      </c>
      <c r="I231" s="23">
        <f>I237+I238+I240+I243+I244+I246+I248+I251+I252+I254+I259+I247+I260+I232+I255+I241</f>
        <v>97060.60391000002</v>
      </c>
      <c r="J231" s="25">
        <f t="shared" si="43"/>
        <v>0.53396410645224823</v>
      </c>
      <c r="K231" s="23">
        <f>SUM(H231,C231)</f>
        <v>434616.07251199998</v>
      </c>
      <c r="L231" s="23">
        <f>E231+I231</f>
        <v>301537.63624000002</v>
      </c>
      <c r="M231" s="25">
        <f t="shared" si="42"/>
        <v>0.69380231268753734</v>
      </c>
      <c r="N231" s="26" t="e">
        <f>#N/A</f>
        <v>#N/A</v>
      </c>
      <c r="O231" s="127"/>
      <c r="P231" s="198"/>
    </row>
    <row r="232" spans="1:20" ht="42" customHeight="1" x14ac:dyDescent="0.25">
      <c r="A232" s="333" t="s">
        <v>284</v>
      </c>
      <c r="B232" s="283" t="s">
        <v>285</v>
      </c>
      <c r="C232" s="34">
        <v>1586.973</v>
      </c>
      <c r="D232" s="80">
        <v>1121.2090000000001</v>
      </c>
      <c r="E232" s="34">
        <v>943.31330000000003</v>
      </c>
      <c r="F232" s="284">
        <f t="shared" si="34"/>
        <v>0.59441042790268017</v>
      </c>
      <c r="G232" s="597">
        <f t="shared" si="35"/>
        <v>0.84133582588081257</v>
      </c>
      <c r="H232" s="35"/>
      <c r="I232" s="35"/>
      <c r="J232" s="25" t="str">
        <f t="shared" si="43"/>
        <v/>
      </c>
      <c r="K232" s="35">
        <f t="shared" ref="K232:K258" si="46">SUM(H232,C232)</f>
        <v>1586.973</v>
      </c>
      <c r="L232" s="34">
        <f t="shared" ref="L232:L259" si="47">E232+I232</f>
        <v>943.31330000000003</v>
      </c>
      <c r="M232" s="115">
        <f t="shared" si="42"/>
        <v>0.59441042790268017</v>
      </c>
      <c r="N232" s="37" t="e">
        <f>#N/A</f>
        <v>#N/A</v>
      </c>
    </row>
    <row r="233" spans="1:20" ht="31.5" customHeight="1" x14ac:dyDescent="0.25">
      <c r="A233" s="41" t="s">
        <v>286</v>
      </c>
      <c r="B233" s="283" t="s">
        <v>287</v>
      </c>
      <c r="C233" s="34">
        <v>171.8</v>
      </c>
      <c r="D233" s="80">
        <v>132.49</v>
      </c>
      <c r="E233" s="34">
        <v>56.753120000000003</v>
      </c>
      <c r="F233" s="19">
        <f t="shared" si="34"/>
        <v>0.3303441210710128</v>
      </c>
      <c r="G233" s="581">
        <f t="shared" si="35"/>
        <v>0.42835776285002641</v>
      </c>
      <c r="H233" s="35"/>
      <c r="I233" s="35"/>
      <c r="J233" s="25" t="str">
        <f t="shared" si="43"/>
        <v/>
      </c>
      <c r="K233" s="35">
        <f t="shared" si="46"/>
        <v>171.8</v>
      </c>
      <c r="L233" s="34">
        <f t="shared" si="47"/>
        <v>56.753120000000003</v>
      </c>
      <c r="M233" s="115">
        <f t="shared" si="42"/>
        <v>0.3303441210710128</v>
      </c>
      <c r="N233" s="37"/>
    </row>
    <row r="234" spans="1:20" ht="19.5" customHeight="1" x14ac:dyDescent="0.25">
      <c r="A234" s="41" t="s">
        <v>288</v>
      </c>
      <c r="B234" s="283" t="s">
        <v>289</v>
      </c>
      <c r="C234" s="34">
        <v>1415.173</v>
      </c>
      <c r="D234" s="80">
        <v>988.71900000000005</v>
      </c>
      <c r="E234" s="34">
        <v>886.56018000000006</v>
      </c>
      <c r="F234" s="19">
        <f t="shared" si="34"/>
        <v>0.62646770394856321</v>
      </c>
      <c r="G234" s="581">
        <f t="shared" si="35"/>
        <v>0.89667557718623792</v>
      </c>
      <c r="H234" s="35"/>
      <c r="I234" s="35"/>
      <c r="J234" s="25" t="str">
        <f t="shared" si="43"/>
        <v/>
      </c>
      <c r="K234" s="35">
        <f t="shared" si="46"/>
        <v>1415.173</v>
      </c>
      <c r="L234" s="34">
        <f t="shared" si="47"/>
        <v>886.56018000000006</v>
      </c>
      <c r="M234" s="115">
        <f t="shared" si="42"/>
        <v>0.62646770394856321</v>
      </c>
      <c r="N234" s="37" t="e">
        <f>#N/A</f>
        <v>#N/A</v>
      </c>
    </row>
    <row r="235" spans="1:20" ht="32.25" hidden="1" customHeight="1" x14ac:dyDescent="0.25">
      <c r="A235" s="776" t="s">
        <v>290</v>
      </c>
      <c r="B235" s="777" t="s">
        <v>291</v>
      </c>
      <c r="C235" s="228"/>
      <c r="D235" s="228"/>
      <c r="E235" s="228"/>
      <c r="F235" s="759" t="str">
        <f t="shared" si="34"/>
        <v/>
      </c>
      <c r="G235" s="104" t="str">
        <f t="shared" si="35"/>
        <v/>
      </c>
      <c r="H235" s="235"/>
      <c r="I235" s="235"/>
      <c r="J235" s="764" t="str">
        <f t="shared" si="43"/>
        <v/>
      </c>
      <c r="K235" s="227">
        <f t="shared" si="46"/>
        <v>0</v>
      </c>
      <c r="L235" s="778">
        <f t="shared" si="47"/>
        <v>0</v>
      </c>
      <c r="M235" s="758" t="str">
        <f t="shared" si="42"/>
        <v/>
      </c>
      <c r="N235" s="37"/>
    </row>
    <row r="236" spans="1:20" ht="25.5" hidden="1" customHeight="1" x14ac:dyDescent="0.25">
      <c r="A236" s="641" t="s">
        <v>292</v>
      </c>
      <c r="B236" s="670" t="s">
        <v>293</v>
      </c>
      <c r="C236" s="219"/>
      <c r="D236" s="219"/>
      <c r="E236" s="219"/>
      <c r="F236" s="625" t="str">
        <f t="shared" si="34"/>
        <v/>
      </c>
      <c r="G236" s="104" t="str">
        <f t="shared" si="35"/>
        <v/>
      </c>
      <c r="H236" s="244"/>
      <c r="I236" s="244"/>
      <c r="J236" s="671" t="str">
        <f t="shared" si="43"/>
        <v/>
      </c>
      <c r="K236" s="244">
        <f t="shared" si="46"/>
        <v>0</v>
      </c>
      <c r="L236" s="267">
        <f t="shared" si="47"/>
        <v>0</v>
      </c>
      <c r="M236" s="627" t="str">
        <f t="shared" si="42"/>
        <v/>
      </c>
      <c r="N236" s="37"/>
    </row>
    <row r="237" spans="1:20" ht="31.5" customHeight="1" x14ac:dyDescent="0.25">
      <c r="A237" s="77" t="s">
        <v>294</v>
      </c>
      <c r="B237" s="286" t="s">
        <v>295</v>
      </c>
      <c r="C237" s="34">
        <v>3689.5680000000002</v>
      </c>
      <c r="D237" s="80">
        <v>2784.4459999999999</v>
      </c>
      <c r="E237" s="34">
        <v>2663.0665400000003</v>
      </c>
      <c r="F237" s="19">
        <f t="shared" si="34"/>
        <v>0.72178275071769926</v>
      </c>
      <c r="G237" s="581">
        <f t="shared" si="35"/>
        <v>0.95640803951665798</v>
      </c>
      <c r="H237" s="287"/>
      <c r="I237" s="287"/>
      <c r="J237" s="25" t="str">
        <f t="shared" si="43"/>
        <v/>
      </c>
      <c r="K237" s="35">
        <f t="shared" si="46"/>
        <v>3689.5680000000002</v>
      </c>
      <c r="L237" s="34">
        <f t="shared" si="47"/>
        <v>2663.0665400000003</v>
      </c>
      <c r="M237" s="115">
        <f t="shared" si="42"/>
        <v>0.72178275071769926</v>
      </c>
      <c r="N237" s="37" t="e">
        <f>#N/A</f>
        <v>#N/A</v>
      </c>
      <c r="P237" s="198"/>
    </row>
    <row r="238" spans="1:20" ht="25.5" customHeight="1" x14ac:dyDescent="0.25">
      <c r="A238" s="41" t="s">
        <v>296</v>
      </c>
      <c r="B238" s="283" t="s">
        <v>297</v>
      </c>
      <c r="C238" s="34">
        <v>76.89</v>
      </c>
      <c r="D238" s="80">
        <v>103.81100000000001</v>
      </c>
      <c r="E238" s="34">
        <v>44.701999999999998</v>
      </c>
      <c r="F238" s="19">
        <f t="shared" si="34"/>
        <v>0.58137599167642084</v>
      </c>
      <c r="G238" s="581">
        <f t="shared" si="35"/>
        <v>0.43060947298455843</v>
      </c>
      <c r="H238" s="70"/>
      <c r="I238" s="70"/>
      <c r="J238" s="25" t="str">
        <f t="shared" si="43"/>
        <v/>
      </c>
      <c r="K238" s="35">
        <f t="shared" si="46"/>
        <v>76.89</v>
      </c>
      <c r="L238" s="34">
        <f t="shared" si="47"/>
        <v>44.701999999999998</v>
      </c>
      <c r="M238" s="115">
        <f t="shared" si="42"/>
        <v>0.58137599167642084</v>
      </c>
      <c r="N238" s="37" t="e">
        <f>#N/A</f>
        <v>#N/A</v>
      </c>
      <c r="P238" s="198"/>
    </row>
    <row r="239" spans="1:20" ht="42.6" customHeight="1" x14ac:dyDescent="0.25">
      <c r="A239" s="41" t="s">
        <v>298</v>
      </c>
      <c r="B239" s="283" t="s">
        <v>299</v>
      </c>
      <c r="C239" s="34">
        <v>46681.89</v>
      </c>
      <c r="D239" s="80">
        <v>32993.667000000001</v>
      </c>
      <c r="E239" s="34">
        <v>36701.416069999999</v>
      </c>
      <c r="F239" s="19">
        <f t="shared" si="34"/>
        <v>0.78620244531658845</v>
      </c>
      <c r="G239" s="581">
        <f t="shared" si="35"/>
        <v>1.1123775987070488</v>
      </c>
      <c r="H239" s="70">
        <v>9653.0885500000004</v>
      </c>
      <c r="I239" s="70">
        <v>3924.9262599999997</v>
      </c>
      <c r="J239" s="305">
        <f t="shared" si="43"/>
        <v>0.40659797531847974</v>
      </c>
      <c r="K239" s="35">
        <f t="shared" si="46"/>
        <v>56334.97855</v>
      </c>
      <c r="L239" s="34">
        <f t="shared" si="47"/>
        <v>40626.342329999999</v>
      </c>
      <c r="M239" s="115">
        <f t="shared" si="42"/>
        <v>0.72115661309681989</v>
      </c>
      <c r="N239" s="37"/>
      <c r="P239" s="198"/>
    </row>
    <row r="240" spans="1:20" s="290" customFormat="1" ht="43.2" customHeight="1" x14ac:dyDescent="0.25">
      <c r="A240" s="288" t="s">
        <v>300</v>
      </c>
      <c r="B240" s="289" t="s">
        <v>301</v>
      </c>
      <c r="C240" s="34">
        <v>37861.303</v>
      </c>
      <c r="D240" s="80">
        <v>26227.365000000002</v>
      </c>
      <c r="E240" s="34">
        <v>29956.701660000002</v>
      </c>
      <c r="F240" s="19">
        <f t="shared" si="34"/>
        <v>0.79122215260261919</v>
      </c>
      <c r="G240" s="581">
        <f t="shared" ref="G240:G304" si="48">IFERROR(E240/D240,"")</f>
        <v>1.1421925786292295</v>
      </c>
      <c r="H240" s="34">
        <v>7541.7129100000002</v>
      </c>
      <c r="I240" s="34">
        <v>1813.5513799999999</v>
      </c>
      <c r="J240" s="115">
        <f t="shared" si="43"/>
        <v>0.24046942672603006</v>
      </c>
      <c r="K240" s="35">
        <f t="shared" si="46"/>
        <v>45403.015910000002</v>
      </c>
      <c r="L240" s="34">
        <f t="shared" si="47"/>
        <v>31770.253040000003</v>
      </c>
      <c r="M240" s="115">
        <f t="shared" si="42"/>
        <v>0.69973882578585744</v>
      </c>
      <c r="N240" s="37" t="e">
        <f>#N/A</f>
        <v>#N/A</v>
      </c>
      <c r="P240" s="291"/>
      <c r="Q240" s="8"/>
      <c r="R240" s="8"/>
      <c r="S240" s="8"/>
      <c r="T240" s="8"/>
    </row>
    <row r="241" spans="1:16" ht="30.6" customHeight="1" x14ac:dyDescent="0.25">
      <c r="A241" s="41" t="s">
        <v>302</v>
      </c>
      <c r="B241" s="283" t="s">
        <v>303</v>
      </c>
      <c r="C241" s="35">
        <v>8820.5869999999995</v>
      </c>
      <c r="D241" s="80">
        <v>6766.3019999999997</v>
      </c>
      <c r="E241" s="35">
        <v>6744.7144100000005</v>
      </c>
      <c r="F241" s="19">
        <f t="shared" si="34"/>
        <v>0.76465595883811366</v>
      </c>
      <c r="G241" s="581">
        <f t="shared" si="48"/>
        <v>0.99680954382467712</v>
      </c>
      <c r="H241" s="34">
        <v>2111.3756400000002</v>
      </c>
      <c r="I241" s="34">
        <v>2111.3748799999998</v>
      </c>
      <c r="J241" s="115">
        <f t="shared" si="43"/>
        <v>0.99999964004510333</v>
      </c>
      <c r="K241" s="35">
        <f t="shared" si="46"/>
        <v>10931.96264</v>
      </c>
      <c r="L241" s="34">
        <f t="shared" si="47"/>
        <v>8856.0892899999999</v>
      </c>
      <c r="M241" s="115">
        <f t="shared" si="42"/>
        <v>0.81010972884188348</v>
      </c>
      <c r="N241" s="37"/>
      <c r="P241" s="198"/>
    </row>
    <row r="242" spans="1:16" ht="13.8" x14ac:dyDescent="0.25">
      <c r="A242" s="41" t="s">
        <v>304</v>
      </c>
      <c r="B242" s="283" t="s">
        <v>305</v>
      </c>
      <c r="C242" s="34">
        <v>426.3</v>
      </c>
      <c r="D242" s="80">
        <v>341.4</v>
      </c>
      <c r="E242" s="34">
        <v>208.55199999999999</v>
      </c>
      <c r="F242" s="19">
        <f t="shared" si="34"/>
        <v>0.48921416842599108</v>
      </c>
      <c r="G242" s="581">
        <f t="shared" si="48"/>
        <v>0.61087287639132981</v>
      </c>
      <c r="H242" s="34"/>
      <c r="I242" s="34"/>
      <c r="J242" s="115" t="str">
        <f t="shared" si="43"/>
        <v/>
      </c>
      <c r="K242" s="35">
        <f t="shared" si="46"/>
        <v>426.3</v>
      </c>
      <c r="L242" s="34">
        <f t="shared" si="47"/>
        <v>208.55199999999999</v>
      </c>
      <c r="M242" s="115">
        <f t="shared" si="42"/>
        <v>0.48921416842599108</v>
      </c>
      <c r="N242" s="37"/>
      <c r="P242" s="198"/>
    </row>
    <row r="243" spans="1:16" ht="34.799999999999997" customHeight="1" x14ac:dyDescent="0.25">
      <c r="A243" s="41" t="s">
        <v>306</v>
      </c>
      <c r="B243" s="283" t="s">
        <v>307</v>
      </c>
      <c r="C243" s="34">
        <v>12935.634999999998</v>
      </c>
      <c r="D243" s="80">
        <v>10463.687999999998</v>
      </c>
      <c r="E243" s="34">
        <v>9303.9175899999991</v>
      </c>
      <c r="F243" s="19">
        <f t="shared" si="34"/>
        <v>0.71924707136526345</v>
      </c>
      <c r="G243" s="581">
        <f t="shared" si="48"/>
        <v>0.88916236703540863</v>
      </c>
      <c r="H243" s="34">
        <v>1323.89383</v>
      </c>
      <c r="I243" s="34">
        <v>1323.89383</v>
      </c>
      <c r="J243" s="115">
        <f t="shared" si="43"/>
        <v>1</v>
      </c>
      <c r="K243" s="35">
        <f t="shared" si="46"/>
        <v>14259.528829999999</v>
      </c>
      <c r="L243" s="34">
        <f t="shared" si="47"/>
        <v>10627.811419999998</v>
      </c>
      <c r="M243" s="115">
        <f t="shared" si="42"/>
        <v>0.74531294453717223</v>
      </c>
      <c r="N243" s="37"/>
      <c r="P243" s="198"/>
    </row>
    <row r="244" spans="1:16" ht="13.8" x14ac:dyDescent="0.25">
      <c r="A244" s="282" t="s">
        <v>308</v>
      </c>
      <c r="B244" s="286" t="s">
        <v>309</v>
      </c>
      <c r="C244" s="34">
        <v>2472.9</v>
      </c>
      <c r="D244" s="80">
        <v>2188.348</v>
      </c>
      <c r="E244" s="34">
        <v>1296.2460000000001</v>
      </c>
      <c r="F244" s="284">
        <f t="shared" ref="F244:F307" si="49">IFERROR(E244/C244,"")</f>
        <v>0.52418051680213518</v>
      </c>
      <c r="G244" s="597">
        <f t="shared" si="48"/>
        <v>0.5923399751776226</v>
      </c>
      <c r="H244" s="292"/>
      <c r="I244" s="292"/>
      <c r="J244" s="115" t="str">
        <f t="shared" si="43"/>
        <v/>
      </c>
      <c r="K244" s="35">
        <f t="shared" si="46"/>
        <v>2472.9</v>
      </c>
      <c r="L244" s="34">
        <f t="shared" si="47"/>
        <v>1296.2460000000001</v>
      </c>
      <c r="M244" s="115">
        <f t="shared" si="42"/>
        <v>0.52418051680213518</v>
      </c>
      <c r="N244" s="37"/>
      <c r="P244" s="198"/>
    </row>
    <row r="245" spans="1:16" ht="13.8" x14ac:dyDescent="0.25">
      <c r="A245" s="41" t="s">
        <v>310</v>
      </c>
      <c r="B245" s="283" t="s">
        <v>311</v>
      </c>
      <c r="C245" s="34">
        <v>2472.9</v>
      </c>
      <c r="D245" s="80">
        <v>2188.348</v>
      </c>
      <c r="E245" s="34">
        <v>1296.2460000000001</v>
      </c>
      <c r="F245" s="19">
        <f t="shared" si="49"/>
        <v>0.52418051680213518</v>
      </c>
      <c r="G245" s="581">
        <f t="shared" si="48"/>
        <v>0.5923399751776226</v>
      </c>
      <c r="H245" s="70"/>
      <c r="I245" s="70"/>
      <c r="J245" s="115" t="str">
        <f t="shared" si="43"/>
        <v/>
      </c>
      <c r="K245" s="35">
        <f t="shared" si="46"/>
        <v>2472.9</v>
      </c>
      <c r="L245" s="34">
        <f t="shared" si="47"/>
        <v>1296.2460000000001</v>
      </c>
      <c r="M245" s="115">
        <f t="shared" ref="M245:M308" si="50">IFERROR(L245/K245,"")</f>
        <v>0.52418051680213518</v>
      </c>
      <c r="N245" s="37"/>
      <c r="P245" s="198"/>
    </row>
    <row r="246" spans="1:16" ht="44.25" customHeight="1" x14ac:dyDescent="0.25">
      <c r="A246" s="41" t="s">
        <v>312</v>
      </c>
      <c r="B246" s="283" t="s">
        <v>313</v>
      </c>
      <c r="C246" s="34">
        <v>24936.799999999999</v>
      </c>
      <c r="D246" s="80">
        <v>24236.799999999999</v>
      </c>
      <c r="E246" s="34">
        <v>24113.3</v>
      </c>
      <c r="F246" s="19">
        <f t="shared" si="49"/>
        <v>0.96697651663405093</v>
      </c>
      <c r="G246" s="581">
        <f t="shared" si="48"/>
        <v>0.99490444283073676</v>
      </c>
      <c r="H246" s="70"/>
      <c r="I246" s="70"/>
      <c r="J246" s="115" t="str">
        <f t="shared" si="43"/>
        <v/>
      </c>
      <c r="K246" s="35">
        <f t="shared" si="46"/>
        <v>24936.799999999999</v>
      </c>
      <c r="L246" s="34">
        <f t="shared" si="47"/>
        <v>24113.3</v>
      </c>
      <c r="M246" s="115">
        <f t="shared" si="50"/>
        <v>0.96697651663405093</v>
      </c>
      <c r="N246" s="37"/>
      <c r="P246" s="198"/>
    </row>
    <row r="247" spans="1:16" ht="58.2" customHeight="1" x14ac:dyDescent="0.25">
      <c r="A247" s="41" t="s">
        <v>314</v>
      </c>
      <c r="B247" s="283" t="s">
        <v>315</v>
      </c>
      <c r="C247" s="34">
        <v>3718.875</v>
      </c>
      <c r="D247" s="80">
        <v>2794.6750000000002</v>
      </c>
      <c r="E247" s="34">
        <v>3123.0459100000003</v>
      </c>
      <c r="F247" s="19">
        <f t="shared" si="49"/>
        <v>0.83978243689287757</v>
      </c>
      <c r="G247" s="581">
        <f t="shared" si="48"/>
        <v>1.1174987825060159</v>
      </c>
      <c r="H247" s="70"/>
      <c r="I247" s="70"/>
      <c r="J247" s="115" t="str">
        <f t="shared" ref="J247:J316" si="51">IFERROR(I247/H247,"")</f>
        <v/>
      </c>
      <c r="K247" s="35">
        <f t="shared" si="46"/>
        <v>3718.875</v>
      </c>
      <c r="L247" s="34">
        <f t="shared" si="47"/>
        <v>3123.0459100000003</v>
      </c>
      <c r="M247" s="115">
        <f t="shared" si="50"/>
        <v>0.83978243689287757</v>
      </c>
      <c r="N247" s="37"/>
      <c r="P247" s="198"/>
    </row>
    <row r="248" spans="1:16" s="875" customFormat="1" ht="13.8" x14ac:dyDescent="0.25">
      <c r="A248" s="333" t="s">
        <v>316</v>
      </c>
      <c r="B248" s="302" t="s">
        <v>317</v>
      </c>
      <c r="C248" s="34">
        <v>415.48399999999998</v>
      </c>
      <c r="D248" s="80">
        <v>421.44900000000001</v>
      </c>
      <c r="E248" s="34">
        <v>405.57792000000006</v>
      </c>
      <c r="F248" s="115">
        <f t="shared" si="49"/>
        <v>0.97615773411250517</v>
      </c>
      <c r="G248" s="597">
        <f t="shared" si="48"/>
        <v>0.96234163564274688</v>
      </c>
      <c r="H248" s="117"/>
      <c r="I248" s="117"/>
      <c r="J248" s="115" t="str">
        <f t="shared" si="51"/>
        <v/>
      </c>
      <c r="K248" s="34">
        <f t="shared" si="46"/>
        <v>415.48399999999998</v>
      </c>
      <c r="L248" s="34">
        <f t="shared" si="47"/>
        <v>405.57792000000006</v>
      </c>
      <c r="M248" s="115">
        <f t="shared" si="50"/>
        <v>0.97615773411250517</v>
      </c>
      <c r="N248" s="159" t="e">
        <f>#N/A</f>
        <v>#N/A</v>
      </c>
      <c r="P248" s="876"/>
    </row>
    <row r="249" spans="1:16" ht="39.6" x14ac:dyDescent="0.25">
      <c r="A249" s="41" t="s">
        <v>318</v>
      </c>
      <c r="B249" s="283" t="s">
        <v>319</v>
      </c>
      <c r="C249" s="34">
        <v>414.52300000000002</v>
      </c>
      <c r="D249" s="80">
        <v>420.69299999999998</v>
      </c>
      <c r="E249" s="34">
        <v>405.57792000000006</v>
      </c>
      <c r="F249" s="19">
        <f t="shared" si="49"/>
        <v>0.97842078726632786</v>
      </c>
      <c r="G249" s="581">
        <f t="shared" si="48"/>
        <v>0.96407099714043276</v>
      </c>
      <c r="H249" s="70"/>
      <c r="I249" s="70"/>
      <c r="J249" s="115" t="str">
        <f t="shared" si="51"/>
        <v/>
      </c>
      <c r="K249" s="35">
        <f t="shared" si="46"/>
        <v>414.52300000000002</v>
      </c>
      <c r="L249" s="34">
        <f t="shared" si="47"/>
        <v>405.57792000000006</v>
      </c>
      <c r="M249" s="115">
        <f t="shared" si="50"/>
        <v>0.97842078726632786</v>
      </c>
      <c r="N249" s="37" t="e">
        <f>#N/A</f>
        <v>#N/A</v>
      </c>
      <c r="P249" s="198"/>
    </row>
    <row r="250" spans="1:16" ht="13.8" x14ac:dyDescent="0.25">
      <c r="A250" s="41" t="s">
        <v>320</v>
      </c>
      <c r="B250" s="283" t="s">
        <v>321</v>
      </c>
      <c r="C250" s="34">
        <v>0.96099999999999997</v>
      </c>
      <c r="D250" s="80">
        <v>0.75600000000000001</v>
      </c>
      <c r="E250" s="34">
        <v>0</v>
      </c>
      <c r="F250" s="19">
        <f t="shared" si="49"/>
        <v>0</v>
      </c>
      <c r="G250" s="581">
        <f t="shared" si="48"/>
        <v>0</v>
      </c>
      <c r="H250" s="70"/>
      <c r="I250" s="70"/>
      <c r="J250" s="115" t="str">
        <f t="shared" si="51"/>
        <v/>
      </c>
      <c r="K250" s="35">
        <f t="shared" si="46"/>
        <v>0.96099999999999997</v>
      </c>
      <c r="L250" s="34">
        <f t="shared" si="47"/>
        <v>0</v>
      </c>
      <c r="M250" s="115">
        <f t="shared" si="50"/>
        <v>0</v>
      </c>
      <c r="N250" s="37" t="e">
        <f>#N/A</f>
        <v>#N/A</v>
      </c>
    </row>
    <row r="251" spans="1:16" ht="40.5" customHeight="1" x14ac:dyDescent="0.25">
      <c r="A251" s="41" t="s">
        <v>322</v>
      </c>
      <c r="B251" s="283" t="s">
        <v>323</v>
      </c>
      <c r="C251" s="34">
        <v>4136.79</v>
      </c>
      <c r="D251" s="80">
        <v>3325.5830000000001</v>
      </c>
      <c r="E251" s="34">
        <v>2988.9689399999997</v>
      </c>
      <c r="F251" s="19">
        <f t="shared" si="49"/>
        <v>0.72253339908479752</v>
      </c>
      <c r="G251" s="581">
        <f t="shared" si="48"/>
        <v>0.89878043639265648</v>
      </c>
      <c r="H251" s="70"/>
      <c r="I251" s="70"/>
      <c r="J251" s="115" t="str">
        <f t="shared" si="51"/>
        <v/>
      </c>
      <c r="K251" s="35">
        <f t="shared" si="46"/>
        <v>4136.79</v>
      </c>
      <c r="L251" s="34">
        <f t="shared" si="47"/>
        <v>2988.9689399999997</v>
      </c>
      <c r="M251" s="115">
        <f t="shared" si="50"/>
        <v>0.72253339908479752</v>
      </c>
      <c r="N251" s="37" t="e">
        <f>#N/A</f>
        <v>#N/A</v>
      </c>
    </row>
    <row r="252" spans="1:16" ht="13.8" x14ac:dyDescent="0.25">
      <c r="A252" s="333" t="s">
        <v>324</v>
      </c>
      <c r="B252" s="302" t="s">
        <v>325</v>
      </c>
      <c r="C252" s="34">
        <v>1153.2737999999999</v>
      </c>
      <c r="D252" s="80">
        <v>958.27380000000005</v>
      </c>
      <c r="E252" s="34">
        <v>530.79766000000006</v>
      </c>
      <c r="F252" s="284">
        <f t="shared" si="49"/>
        <v>0.46025294253628246</v>
      </c>
      <c r="G252" s="597">
        <f t="shared" si="48"/>
        <v>0.55391022899718223</v>
      </c>
      <c r="H252" s="70"/>
      <c r="I252" s="70"/>
      <c r="J252" s="115" t="str">
        <f t="shared" si="51"/>
        <v/>
      </c>
      <c r="K252" s="35">
        <f t="shared" si="46"/>
        <v>1153.2737999999999</v>
      </c>
      <c r="L252" s="34">
        <f t="shared" si="47"/>
        <v>530.79766000000006</v>
      </c>
      <c r="M252" s="115">
        <f t="shared" si="50"/>
        <v>0.46025294253628246</v>
      </c>
      <c r="N252" s="37" t="e">
        <f>#N/A</f>
        <v>#N/A</v>
      </c>
    </row>
    <row r="253" spans="1:16" ht="32.25" customHeight="1" x14ac:dyDescent="0.25">
      <c r="A253" s="41" t="s">
        <v>326</v>
      </c>
      <c r="B253" s="283" t="s">
        <v>327</v>
      </c>
      <c r="C253" s="34">
        <v>1153.2737999999999</v>
      </c>
      <c r="D253" s="80">
        <v>958.27380000000005</v>
      </c>
      <c r="E253" s="34">
        <v>530.79766000000006</v>
      </c>
      <c r="F253" s="19">
        <f t="shared" si="49"/>
        <v>0.46025294253628246</v>
      </c>
      <c r="G253" s="581">
        <f t="shared" si="48"/>
        <v>0.55391022899718223</v>
      </c>
      <c r="H253" s="70"/>
      <c r="I253" s="70"/>
      <c r="J253" s="115" t="str">
        <f t="shared" si="51"/>
        <v/>
      </c>
      <c r="K253" s="35">
        <f t="shared" si="46"/>
        <v>1153.2737999999999</v>
      </c>
      <c r="L253" s="34">
        <f t="shared" si="47"/>
        <v>530.79766000000006</v>
      </c>
      <c r="M253" s="115">
        <f t="shared" si="50"/>
        <v>0.46025294253628246</v>
      </c>
      <c r="N253" s="37" t="e">
        <f>#N/A</f>
        <v>#N/A</v>
      </c>
      <c r="P253" s="198">
        <f>H253-O253</f>
        <v>0</v>
      </c>
    </row>
    <row r="254" spans="1:16" ht="27.75" hidden="1" customHeight="1" x14ac:dyDescent="0.25">
      <c r="A254" s="743" t="s">
        <v>328</v>
      </c>
      <c r="B254" s="779" t="s">
        <v>329</v>
      </c>
      <c r="C254" s="324"/>
      <c r="D254" s="228">
        <v>0</v>
      </c>
      <c r="E254" s="324"/>
      <c r="F254" s="728" t="str">
        <f t="shared" si="49"/>
        <v/>
      </c>
      <c r="G254" s="104" t="str">
        <f t="shared" si="48"/>
        <v/>
      </c>
      <c r="H254" s="324"/>
      <c r="I254" s="324"/>
      <c r="J254" s="727" t="str">
        <f t="shared" si="51"/>
        <v/>
      </c>
      <c r="K254" s="223">
        <f t="shared" si="46"/>
        <v>0</v>
      </c>
      <c r="L254" s="729">
        <f t="shared" si="47"/>
        <v>0</v>
      </c>
      <c r="M254" s="727" t="str">
        <f t="shared" si="50"/>
        <v/>
      </c>
      <c r="N254" s="37" t="e">
        <f>#N/A</f>
        <v>#N/A</v>
      </c>
    </row>
    <row r="255" spans="1:16" ht="26.4" x14ac:dyDescent="0.25">
      <c r="A255" s="333" t="s">
        <v>330</v>
      </c>
      <c r="B255" s="302" t="s">
        <v>331</v>
      </c>
      <c r="C255" s="287">
        <f>C256+C257+C258</f>
        <v>0</v>
      </c>
      <c r="D255" s="598">
        <f>D256+D257+D258</f>
        <v>0</v>
      </c>
      <c r="E255" s="287">
        <f>E256+E257+E258</f>
        <v>0</v>
      </c>
      <c r="F255" s="284" t="str">
        <f t="shared" si="49"/>
        <v/>
      </c>
      <c r="G255" s="583" t="str">
        <f t="shared" si="48"/>
        <v/>
      </c>
      <c r="H255" s="34">
        <v>149049.55799999999</v>
      </c>
      <c r="I255" s="34">
        <v>84935.27943000001</v>
      </c>
      <c r="J255" s="115">
        <f t="shared" si="51"/>
        <v>0.56984589937529384</v>
      </c>
      <c r="K255" s="34">
        <f t="shared" si="46"/>
        <v>149049.55799999999</v>
      </c>
      <c r="L255" s="34">
        <f t="shared" si="47"/>
        <v>84935.27943000001</v>
      </c>
      <c r="M255" s="115">
        <f t="shared" si="50"/>
        <v>0.56984589937529384</v>
      </c>
      <c r="N255" s="37"/>
    </row>
    <row r="256" spans="1:16" ht="190.8" customHeight="1" x14ac:dyDescent="0.25">
      <c r="A256" s="41" t="s">
        <v>332</v>
      </c>
      <c r="B256" s="283" t="s">
        <v>333</v>
      </c>
      <c r="C256" s="35"/>
      <c r="D256" s="80"/>
      <c r="E256" s="35"/>
      <c r="F256" s="19" t="str">
        <f t="shared" si="49"/>
        <v/>
      </c>
      <c r="G256" s="581" t="str">
        <f t="shared" si="48"/>
        <v/>
      </c>
      <c r="H256" s="70">
        <v>133003.603</v>
      </c>
      <c r="I256" s="70">
        <v>68889.339059999998</v>
      </c>
      <c r="J256" s="19">
        <f t="shared" si="51"/>
        <v>0.51795092393098552</v>
      </c>
      <c r="K256" s="35">
        <f t="shared" si="46"/>
        <v>133003.603</v>
      </c>
      <c r="L256" s="34">
        <f t="shared" si="47"/>
        <v>68889.339059999998</v>
      </c>
      <c r="M256" s="115">
        <f t="shared" si="50"/>
        <v>0.51795092393098552</v>
      </c>
      <c r="N256" s="37"/>
    </row>
    <row r="257" spans="1:16" ht="184.8" x14ac:dyDescent="0.25">
      <c r="A257" s="41" t="s">
        <v>334</v>
      </c>
      <c r="B257" s="283" t="s">
        <v>335</v>
      </c>
      <c r="C257" s="35"/>
      <c r="D257" s="80"/>
      <c r="E257" s="35"/>
      <c r="F257" s="19" t="str">
        <f t="shared" si="49"/>
        <v/>
      </c>
      <c r="G257" s="581" t="str">
        <f t="shared" si="48"/>
        <v/>
      </c>
      <c r="H257" s="70">
        <v>10408.927</v>
      </c>
      <c r="I257" s="70">
        <v>10408.92295</v>
      </c>
      <c r="J257" s="19">
        <f t="shared" si="51"/>
        <v>0.99999961091090372</v>
      </c>
      <c r="K257" s="35">
        <f t="shared" si="46"/>
        <v>10408.927</v>
      </c>
      <c r="L257" s="34">
        <f t="shared" si="47"/>
        <v>10408.92295</v>
      </c>
      <c r="M257" s="115">
        <f t="shared" si="50"/>
        <v>0.99999961091090372</v>
      </c>
      <c r="N257" s="37"/>
    </row>
    <row r="258" spans="1:16" ht="132" x14ac:dyDescent="0.25">
      <c r="A258" s="41" t="s">
        <v>336</v>
      </c>
      <c r="B258" s="283" t="s">
        <v>337</v>
      </c>
      <c r="C258" s="35"/>
      <c r="D258" s="293"/>
      <c r="E258" s="35"/>
      <c r="F258" s="19" t="str">
        <f t="shared" si="49"/>
        <v/>
      </c>
      <c r="G258" s="581" t="str">
        <f t="shared" si="48"/>
        <v/>
      </c>
      <c r="H258" s="70">
        <v>5637.0280000000002</v>
      </c>
      <c r="I258" s="70">
        <v>5637.0174200000001</v>
      </c>
      <c r="J258" s="19">
        <f t="shared" si="51"/>
        <v>0.99999812312445491</v>
      </c>
      <c r="K258" s="35">
        <f t="shared" si="46"/>
        <v>5637.0280000000002</v>
      </c>
      <c r="L258" s="34">
        <f t="shared" si="47"/>
        <v>5637.0174200000001</v>
      </c>
      <c r="M258" s="115">
        <f t="shared" si="50"/>
        <v>0.99999812312445491</v>
      </c>
      <c r="N258" s="37"/>
    </row>
    <row r="259" spans="1:16" ht="26.4" x14ac:dyDescent="0.25">
      <c r="A259" s="41" t="s">
        <v>338</v>
      </c>
      <c r="B259" s="283" t="s">
        <v>339</v>
      </c>
      <c r="C259" s="34">
        <v>71.400000000000006</v>
      </c>
      <c r="D259" s="80">
        <v>71.400000000000006</v>
      </c>
      <c r="E259" s="34">
        <v>5.1476000000000006</v>
      </c>
      <c r="F259" s="19">
        <f t="shared" si="49"/>
        <v>7.2095238095238101E-2</v>
      </c>
      <c r="G259" s="581">
        <f t="shared" si="48"/>
        <v>7.2095238095238101E-2</v>
      </c>
      <c r="H259" s="303">
        <v>21747.108329999999</v>
      </c>
      <c r="I259" s="303">
        <v>6876.5043900000001</v>
      </c>
      <c r="J259" s="115">
        <f t="shared" si="51"/>
        <v>0.3162031606985608</v>
      </c>
      <c r="K259" s="35">
        <f>SUM(H259,C259)</f>
        <v>21818.508330000001</v>
      </c>
      <c r="L259" s="34">
        <f t="shared" si="47"/>
        <v>6881.6519900000003</v>
      </c>
      <c r="M259" s="115">
        <f t="shared" si="50"/>
        <v>0.31540432947645053</v>
      </c>
      <c r="N259" s="37" t="e">
        <f>#N/A</f>
        <v>#N/A</v>
      </c>
    </row>
    <row r="260" spans="1:16" ht="13.8" x14ac:dyDescent="0.25">
      <c r="A260" s="282" t="s">
        <v>340</v>
      </c>
      <c r="B260" s="286" t="s">
        <v>341</v>
      </c>
      <c r="C260" s="34">
        <v>150539.645002</v>
      </c>
      <c r="D260" s="80">
        <v>116523.09185</v>
      </c>
      <c r="E260" s="34">
        <v>122148.98079999999</v>
      </c>
      <c r="F260" s="284">
        <f t="shared" si="49"/>
        <v>0.81140739237412951</v>
      </c>
      <c r="G260" s="597">
        <f t="shared" si="48"/>
        <v>1.0482813222742338</v>
      </c>
      <c r="H260" s="292">
        <f>H261+H262</f>
        <v>0</v>
      </c>
      <c r="I260" s="292">
        <f>I261+I262</f>
        <v>0</v>
      </c>
      <c r="J260" s="115" t="str">
        <f t="shared" si="51"/>
        <v/>
      </c>
      <c r="K260" s="35">
        <f>SUM(H260,C260)</f>
        <v>150539.645002</v>
      </c>
      <c r="L260" s="34">
        <f>E260+I260</f>
        <v>122148.98079999999</v>
      </c>
      <c r="M260" s="115">
        <f t="shared" si="50"/>
        <v>0.81140739237412951</v>
      </c>
      <c r="N260" s="37" t="e">
        <f>#N/A</f>
        <v>#N/A</v>
      </c>
    </row>
    <row r="261" spans="1:16" ht="24.75" hidden="1" customHeight="1" x14ac:dyDescent="0.25">
      <c r="A261" s="780" t="s">
        <v>342</v>
      </c>
      <c r="B261" s="781" t="s">
        <v>343</v>
      </c>
      <c r="C261" s="295"/>
      <c r="D261" s="295"/>
      <c r="E261" s="295"/>
      <c r="F261" s="782" t="str">
        <f t="shared" si="49"/>
        <v/>
      </c>
      <c r="G261" s="296" t="str">
        <f t="shared" si="48"/>
        <v/>
      </c>
      <c r="H261" s="112"/>
      <c r="I261" s="112"/>
      <c r="J261" s="650" t="str">
        <f t="shared" si="51"/>
        <v/>
      </c>
      <c r="K261" s="222">
        <f>SUM(H261,C261)</f>
        <v>0</v>
      </c>
      <c r="L261" s="783">
        <f>E261+I261</f>
        <v>0</v>
      </c>
      <c r="M261" s="651" t="str">
        <f t="shared" si="50"/>
        <v/>
      </c>
      <c r="N261" s="37"/>
    </row>
    <row r="262" spans="1:16" ht="13.8" x14ac:dyDescent="0.25">
      <c r="A262" s="41" t="s">
        <v>344</v>
      </c>
      <c r="B262" s="283" t="s">
        <v>345</v>
      </c>
      <c r="C262" s="34">
        <v>150539.645002</v>
      </c>
      <c r="D262" s="80">
        <v>116523.09185</v>
      </c>
      <c r="E262" s="34">
        <v>122148.98079999999</v>
      </c>
      <c r="F262" s="19">
        <f t="shared" si="49"/>
        <v>0.81140739237412951</v>
      </c>
      <c r="G262" s="581">
        <f t="shared" si="48"/>
        <v>1.0482813222742338</v>
      </c>
      <c r="H262" s="70"/>
      <c r="I262" s="70"/>
      <c r="J262" s="19" t="str">
        <f t="shared" si="51"/>
        <v/>
      </c>
      <c r="K262" s="35">
        <f>SUM(H262,C262)</f>
        <v>150539.645002</v>
      </c>
      <c r="L262" s="34">
        <f>E262+I262</f>
        <v>122148.98079999999</v>
      </c>
      <c r="M262" s="115">
        <f t="shared" si="50"/>
        <v>0.81140739237412951</v>
      </c>
      <c r="N262" s="37"/>
      <c r="P262" s="198"/>
    </row>
    <row r="263" spans="1:16" ht="45" hidden="1" customHeight="1" x14ac:dyDescent="0.25">
      <c r="A263" s="725"/>
      <c r="B263" s="771"/>
      <c r="C263" s="200"/>
      <c r="D263" s="197"/>
      <c r="E263" s="200"/>
      <c r="F263" s="496" t="str">
        <f t="shared" si="49"/>
        <v/>
      </c>
      <c r="G263" s="257" t="str">
        <f t="shared" si="48"/>
        <v/>
      </c>
      <c r="H263" s="200"/>
      <c r="I263" s="200"/>
      <c r="J263" s="496" t="str">
        <f t="shared" si="51"/>
        <v/>
      </c>
      <c r="K263" s="245"/>
      <c r="L263" s="245"/>
      <c r="M263" s="496" t="str">
        <f t="shared" si="50"/>
        <v/>
      </c>
      <c r="N263" s="37"/>
      <c r="P263" s="198"/>
    </row>
    <row r="264" spans="1:16" ht="53.25" hidden="1" customHeight="1" x14ac:dyDescent="0.25">
      <c r="A264" s="82" t="s">
        <v>346</v>
      </c>
      <c r="B264" s="278" t="s">
        <v>347</v>
      </c>
      <c r="C264" s="62">
        <v>0</v>
      </c>
      <c r="D264" s="62">
        <v>1342.76</v>
      </c>
      <c r="E264" s="62">
        <v>0</v>
      </c>
      <c r="F264" s="183" t="str">
        <f t="shared" si="49"/>
        <v/>
      </c>
      <c r="G264" s="257">
        <f t="shared" si="48"/>
        <v>0</v>
      </c>
      <c r="H264" s="62"/>
      <c r="I264" s="62"/>
      <c r="J264" s="183" t="str">
        <f t="shared" si="51"/>
        <v/>
      </c>
      <c r="K264" s="186" t="e">
        <f>#N/A</f>
        <v>#N/A</v>
      </c>
      <c r="L264" s="186" t="e">
        <f>#N/A</f>
        <v>#N/A</v>
      </c>
      <c r="M264" s="63" t="str">
        <f t="shared" si="50"/>
        <v/>
      </c>
      <c r="N264" s="37"/>
      <c r="P264" s="198"/>
    </row>
    <row r="265" spans="1:16" ht="33.75" hidden="1" customHeight="1" x14ac:dyDescent="0.25">
      <c r="A265" s="82" t="s">
        <v>348</v>
      </c>
      <c r="B265" s="278" t="s">
        <v>349</v>
      </c>
      <c r="C265" s="62">
        <v>0</v>
      </c>
      <c r="D265" s="62">
        <v>409.49799999999999</v>
      </c>
      <c r="E265" s="62">
        <v>0</v>
      </c>
      <c r="F265" s="183" t="str">
        <f t="shared" si="49"/>
        <v/>
      </c>
      <c r="G265" s="257">
        <f t="shared" si="48"/>
        <v>0</v>
      </c>
      <c r="H265" s="62"/>
      <c r="I265" s="62"/>
      <c r="J265" s="183" t="str">
        <f t="shared" si="51"/>
        <v/>
      </c>
      <c r="K265" s="186" t="e">
        <f>#N/A</f>
        <v>#N/A</v>
      </c>
      <c r="L265" s="186" t="e">
        <f>#N/A</f>
        <v>#N/A</v>
      </c>
      <c r="M265" s="63" t="str">
        <f t="shared" si="50"/>
        <v/>
      </c>
      <c r="N265" s="37"/>
      <c r="P265" s="198"/>
    </row>
    <row r="266" spans="1:16" ht="48.75" hidden="1" customHeight="1" x14ac:dyDescent="0.25">
      <c r="A266" s="82" t="s">
        <v>350</v>
      </c>
      <c r="B266" s="278" t="s">
        <v>351</v>
      </c>
      <c r="C266" s="62">
        <v>0</v>
      </c>
      <c r="D266" s="62">
        <v>0.75600000000000001</v>
      </c>
      <c r="E266" s="62">
        <v>0</v>
      </c>
      <c r="F266" s="183" t="str">
        <f t="shared" si="49"/>
        <v/>
      </c>
      <c r="G266" s="257">
        <f t="shared" si="48"/>
        <v>0</v>
      </c>
      <c r="H266" s="62"/>
      <c r="I266" s="62"/>
      <c r="J266" s="183" t="str">
        <f t="shared" si="51"/>
        <v/>
      </c>
      <c r="K266" s="186" t="e">
        <f>#N/A</f>
        <v>#N/A</v>
      </c>
      <c r="L266" s="186" t="e">
        <f>#N/A</f>
        <v>#N/A</v>
      </c>
      <c r="M266" s="63" t="str">
        <f t="shared" si="50"/>
        <v/>
      </c>
      <c r="N266" s="37"/>
      <c r="P266" s="198"/>
    </row>
    <row r="267" spans="1:16" ht="44.25" hidden="1" customHeight="1" x14ac:dyDescent="0.25">
      <c r="A267" s="82" t="s">
        <v>352</v>
      </c>
      <c r="B267" s="278" t="s">
        <v>325</v>
      </c>
      <c r="C267" s="62">
        <v>0</v>
      </c>
      <c r="D267" s="62">
        <v>1917.6010000000001</v>
      </c>
      <c r="E267" s="62">
        <v>0</v>
      </c>
      <c r="F267" s="183" t="str">
        <f t="shared" si="49"/>
        <v/>
      </c>
      <c r="G267" s="257">
        <f t="shared" si="48"/>
        <v>0</v>
      </c>
      <c r="H267" s="62"/>
      <c r="I267" s="62"/>
      <c r="J267" s="183" t="str">
        <f t="shared" si="51"/>
        <v/>
      </c>
      <c r="K267" s="186" t="e">
        <f>#N/A</f>
        <v>#N/A</v>
      </c>
      <c r="L267" s="186" t="e">
        <f>#N/A</f>
        <v>#N/A</v>
      </c>
      <c r="M267" s="63" t="str">
        <f t="shared" si="50"/>
        <v/>
      </c>
      <c r="N267" s="37"/>
      <c r="P267" s="198"/>
    </row>
    <row r="268" spans="1:16" ht="30" hidden="1" customHeight="1" x14ac:dyDescent="0.25">
      <c r="A268" s="82" t="s">
        <v>353</v>
      </c>
      <c r="B268" s="278" t="s">
        <v>354</v>
      </c>
      <c r="C268" s="62">
        <v>0</v>
      </c>
      <c r="D268" s="62">
        <v>419.38499999999999</v>
      </c>
      <c r="E268" s="62">
        <v>0</v>
      </c>
      <c r="F268" s="183" t="str">
        <f t="shared" si="49"/>
        <v/>
      </c>
      <c r="G268" s="257">
        <f t="shared" si="48"/>
        <v>0</v>
      </c>
      <c r="H268" s="62"/>
      <c r="I268" s="62"/>
      <c r="J268" s="183" t="str">
        <f t="shared" si="51"/>
        <v/>
      </c>
      <c r="K268" s="186" t="e">
        <f>#N/A</f>
        <v>#N/A</v>
      </c>
      <c r="L268" s="186" t="e">
        <f>#N/A</f>
        <v>#N/A</v>
      </c>
      <c r="M268" s="63" t="str">
        <f t="shared" si="50"/>
        <v/>
      </c>
      <c r="N268" s="37"/>
      <c r="P268" s="198"/>
    </row>
    <row r="269" spans="1:16" ht="30.75" hidden="1" customHeight="1" x14ac:dyDescent="0.25">
      <c r="A269" s="82" t="s">
        <v>328</v>
      </c>
      <c r="B269" s="278" t="s">
        <v>341</v>
      </c>
      <c r="C269" s="62">
        <v>0</v>
      </c>
      <c r="D269" s="62">
        <v>664.61699999999996</v>
      </c>
      <c r="E269" s="62">
        <v>0</v>
      </c>
      <c r="F269" s="183" t="str">
        <f t="shared" si="49"/>
        <v/>
      </c>
      <c r="G269" s="257">
        <f t="shared" si="48"/>
        <v>0</v>
      </c>
      <c r="H269" s="62">
        <v>0</v>
      </c>
      <c r="I269" s="62">
        <v>0</v>
      </c>
      <c r="J269" s="183" t="str">
        <f t="shared" si="51"/>
        <v/>
      </c>
      <c r="K269" s="186" t="e">
        <f>#N/A</f>
        <v>#N/A</v>
      </c>
      <c r="L269" s="186" t="e">
        <f>#N/A</f>
        <v>#N/A</v>
      </c>
      <c r="M269" s="63" t="str">
        <f t="shared" si="50"/>
        <v/>
      </c>
      <c r="N269" s="37" t="e">
        <f>#N/A</f>
        <v>#N/A</v>
      </c>
      <c r="P269" s="198"/>
    </row>
    <row r="270" spans="1:16" ht="44.25" hidden="1" customHeight="1" x14ac:dyDescent="0.25">
      <c r="A270" s="82" t="s">
        <v>355</v>
      </c>
      <c r="B270" s="298" t="s">
        <v>356</v>
      </c>
      <c r="C270" s="62"/>
      <c r="D270" s="62"/>
      <c r="E270" s="62"/>
      <c r="F270" s="183" t="str">
        <f t="shared" si="49"/>
        <v/>
      </c>
      <c r="G270" s="257" t="str">
        <f t="shared" si="48"/>
        <v/>
      </c>
      <c r="H270" s="62">
        <v>0</v>
      </c>
      <c r="I270" s="62">
        <v>0</v>
      </c>
      <c r="J270" s="183" t="str">
        <f t="shared" si="51"/>
        <v/>
      </c>
      <c r="K270" s="186" t="e">
        <f>#N/A</f>
        <v>#N/A</v>
      </c>
      <c r="L270" s="186" t="e">
        <f>#N/A</f>
        <v>#N/A</v>
      </c>
      <c r="M270" s="63" t="str">
        <f t="shared" si="50"/>
        <v/>
      </c>
      <c r="N270" s="37"/>
      <c r="P270" s="198"/>
    </row>
    <row r="271" spans="1:16" ht="27" hidden="1" customHeight="1" x14ac:dyDescent="0.25">
      <c r="A271" s="633" t="s">
        <v>357</v>
      </c>
      <c r="B271" s="669" t="s">
        <v>358</v>
      </c>
      <c r="C271" s="134">
        <v>0</v>
      </c>
      <c r="D271" s="134">
        <v>5255.5128999999997</v>
      </c>
      <c r="E271" s="134">
        <v>0</v>
      </c>
      <c r="F271" s="654" t="str">
        <f t="shared" si="49"/>
        <v/>
      </c>
      <c r="G271" s="183">
        <f t="shared" si="48"/>
        <v>0</v>
      </c>
      <c r="H271" s="134">
        <v>0</v>
      </c>
      <c r="I271" s="134">
        <v>0</v>
      </c>
      <c r="J271" s="654" t="str">
        <f t="shared" si="51"/>
        <v/>
      </c>
      <c r="K271" s="244" t="e">
        <f>#N/A</f>
        <v>#N/A</v>
      </c>
      <c r="L271" s="244" t="e">
        <f>#N/A</f>
        <v>#N/A</v>
      </c>
      <c r="M271" s="499" t="str">
        <f t="shared" si="50"/>
        <v/>
      </c>
      <c r="N271" s="37" t="e">
        <f>#N/A</f>
        <v>#N/A</v>
      </c>
      <c r="P271" s="198"/>
    </row>
    <row r="272" spans="1:16" ht="13.8" x14ac:dyDescent="0.25">
      <c r="A272" s="299" t="s">
        <v>359</v>
      </c>
      <c r="B272" s="300" t="s">
        <v>360</v>
      </c>
      <c r="C272" s="30">
        <f>SUBTOTAL(9,C273:C276)</f>
        <v>55111.320000000007</v>
      </c>
      <c r="D272" s="578">
        <f>SUBTOTAL(9,D273:D276)</f>
        <v>40101.343000000008</v>
      </c>
      <c r="E272" s="30">
        <f>SUBTOTAL(9,E273:E276)</f>
        <v>38900.428769999999</v>
      </c>
      <c r="F272" s="31">
        <f t="shared" si="49"/>
        <v>0.70585187888803957</v>
      </c>
      <c r="G272" s="580">
        <f t="shared" si="48"/>
        <v>0.97005301717700554</v>
      </c>
      <c r="H272" s="30">
        <f>SUBTOTAL(9,H273:H276)</f>
        <v>6092.8763799999997</v>
      </c>
      <c r="I272" s="30">
        <f>SUBTOTAL(9,I273:I276)</f>
        <v>3670.1641399999999</v>
      </c>
      <c r="J272" s="31">
        <f t="shared" si="51"/>
        <v>0.60236970374901977</v>
      </c>
      <c r="K272" s="30">
        <f>SUM(H272,C272)+0.03</f>
        <v>61204.226380000007</v>
      </c>
      <c r="L272" s="30">
        <f>E272+I272+0.01</f>
        <v>42570.602910000001</v>
      </c>
      <c r="M272" s="31">
        <f t="shared" si="50"/>
        <v>0.69555005312363527</v>
      </c>
      <c r="N272" s="37"/>
      <c r="O272" s="301"/>
      <c r="P272" s="198"/>
    </row>
    <row r="273" spans="1:16" ht="18" customHeight="1" x14ac:dyDescent="0.25">
      <c r="A273" s="333" t="s">
        <v>361</v>
      </c>
      <c r="B273" s="302" t="s">
        <v>362</v>
      </c>
      <c r="C273" s="34">
        <v>21644.863000000001</v>
      </c>
      <c r="D273" s="80">
        <v>16037.662</v>
      </c>
      <c r="E273" s="34">
        <v>15349.02637</v>
      </c>
      <c r="F273" s="115">
        <f t="shared" si="49"/>
        <v>0.70913021579300362</v>
      </c>
      <c r="G273" s="581">
        <f t="shared" si="48"/>
        <v>0.95706134535071252</v>
      </c>
      <c r="H273" s="303">
        <v>3674.2444300000002</v>
      </c>
      <c r="I273" s="303">
        <v>2944.9106200000001</v>
      </c>
      <c r="J273" s="115">
        <f t="shared" si="51"/>
        <v>0.80150100955586123</v>
      </c>
      <c r="K273" s="34">
        <f t="shared" ref="K273:K278" si="52">SUM(H273,C273)</f>
        <v>25319.10743</v>
      </c>
      <c r="L273" s="34">
        <f t="shared" ref="L273:L278" si="53">E273+I273</f>
        <v>18293.936989999998</v>
      </c>
      <c r="M273" s="115">
        <f t="shared" si="50"/>
        <v>0.72253483028884158</v>
      </c>
      <c r="N273" s="37"/>
      <c r="O273" s="301"/>
      <c r="P273" s="198"/>
    </row>
    <row r="274" spans="1:16" ht="17.399999999999999" customHeight="1" x14ac:dyDescent="0.25">
      <c r="A274" s="333" t="s">
        <v>363</v>
      </c>
      <c r="B274" s="302" t="s">
        <v>364</v>
      </c>
      <c r="C274" s="34">
        <v>2165.9859999999999</v>
      </c>
      <c r="D274" s="80">
        <v>1689.92</v>
      </c>
      <c r="E274" s="34">
        <v>1460.16461</v>
      </c>
      <c r="F274" s="115">
        <f t="shared" si="49"/>
        <v>0.67413390945278506</v>
      </c>
      <c r="G274" s="581">
        <f t="shared" si="48"/>
        <v>0.86404362928422651</v>
      </c>
      <c r="H274" s="34">
        <v>21.003060000000001</v>
      </c>
      <c r="I274" s="34">
        <v>16.123059999999999</v>
      </c>
      <c r="J274" s="115">
        <f t="shared" si="51"/>
        <v>0.76765290391019203</v>
      </c>
      <c r="K274" s="34">
        <f t="shared" si="52"/>
        <v>2186.9890599999999</v>
      </c>
      <c r="L274" s="34">
        <f t="shared" si="53"/>
        <v>1476.2876699999999</v>
      </c>
      <c r="M274" s="115">
        <f t="shared" si="50"/>
        <v>0.67503203239617482</v>
      </c>
      <c r="N274" s="37"/>
      <c r="O274" s="301"/>
      <c r="P274" s="198"/>
    </row>
    <row r="275" spans="1:16" ht="27.75" customHeight="1" x14ac:dyDescent="0.25">
      <c r="A275" s="333" t="s">
        <v>365</v>
      </c>
      <c r="B275" s="302" t="s">
        <v>366</v>
      </c>
      <c r="C275" s="34">
        <v>11370.466</v>
      </c>
      <c r="D275" s="80">
        <v>8306.2049999999999</v>
      </c>
      <c r="E275" s="34">
        <v>7924.3098200000004</v>
      </c>
      <c r="F275" s="115">
        <f t="shared" si="49"/>
        <v>0.69692040941857614</v>
      </c>
      <c r="G275" s="581">
        <f t="shared" si="48"/>
        <v>0.95402290456351613</v>
      </c>
      <c r="H275" s="303">
        <v>2176.62889</v>
      </c>
      <c r="I275" s="303">
        <v>488.13046000000003</v>
      </c>
      <c r="J275" s="115">
        <f t="shared" si="51"/>
        <v>0.22425984615135749</v>
      </c>
      <c r="K275" s="34">
        <f t="shared" si="52"/>
        <v>13547.09489</v>
      </c>
      <c r="L275" s="34">
        <f>E275+I275+0.03</f>
        <v>8412.4702800000014</v>
      </c>
      <c r="M275" s="115">
        <f t="shared" si="50"/>
        <v>0.62097965270840449</v>
      </c>
      <c r="N275" s="37"/>
      <c r="O275" s="301"/>
      <c r="P275" s="198"/>
    </row>
    <row r="276" spans="1:16" ht="21" customHeight="1" x14ac:dyDescent="0.25">
      <c r="A276" s="333" t="s">
        <v>367</v>
      </c>
      <c r="B276" s="302" t="s">
        <v>368</v>
      </c>
      <c r="C276" s="34">
        <v>19930.005000000001</v>
      </c>
      <c r="D276" s="80">
        <v>14067.556</v>
      </c>
      <c r="E276" s="34">
        <v>14166.927970000001</v>
      </c>
      <c r="F276" s="115">
        <f t="shared" si="49"/>
        <v>0.71083414028245351</v>
      </c>
      <c r="G276" s="581">
        <f t="shared" si="48"/>
        <v>1.0070639114569724</v>
      </c>
      <c r="H276" s="117">
        <v>221</v>
      </c>
      <c r="I276" s="117">
        <v>221</v>
      </c>
      <c r="J276" s="115">
        <f t="shared" si="51"/>
        <v>1</v>
      </c>
      <c r="K276" s="34">
        <f t="shared" si="52"/>
        <v>20151.005000000001</v>
      </c>
      <c r="L276" s="34">
        <f t="shared" si="53"/>
        <v>14387.927970000001</v>
      </c>
      <c r="M276" s="115">
        <f t="shared" si="50"/>
        <v>0.71400547863493657</v>
      </c>
      <c r="N276" s="37"/>
      <c r="O276" s="301"/>
      <c r="P276" s="198"/>
    </row>
    <row r="277" spans="1:16" ht="13.8" x14ac:dyDescent="0.25">
      <c r="A277" s="333" t="s">
        <v>369</v>
      </c>
      <c r="B277" s="302" t="s">
        <v>370</v>
      </c>
      <c r="C277" s="34">
        <v>17495.718000000001</v>
      </c>
      <c r="D277" s="80">
        <v>11920.769</v>
      </c>
      <c r="E277" s="34">
        <v>12159.0082</v>
      </c>
      <c r="F277" s="115">
        <f t="shared" si="49"/>
        <v>0.69497051792901554</v>
      </c>
      <c r="G277" s="581">
        <f t="shared" si="48"/>
        <v>1.0199852207521176</v>
      </c>
      <c r="H277" s="117">
        <v>0</v>
      </c>
      <c r="I277" s="117">
        <v>0</v>
      </c>
      <c r="J277" s="115" t="str">
        <f t="shared" si="51"/>
        <v/>
      </c>
      <c r="K277" s="34">
        <f t="shared" si="52"/>
        <v>17495.718000000001</v>
      </c>
      <c r="L277" s="34">
        <f t="shared" si="53"/>
        <v>12159.0082</v>
      </c>
      <c r="M277" s="115">
        <f t="shared" si="50"/>
        <v>0.69497051792901554</v>
      </c>
      <c r="N277" s="37"/>
      <c r="O277" s="301"/>
      <c r="P277" s="198"/>
    </row>
    <row r="278" spans="1:16" ht="13.8" x14ac:dyDescent="0.25">
      <c r="A278" s="333" t="s">
        <v>371</v>
      </c>
      <c r="B278" s="302" t="s">
        <v>372</v>
      </c>
      <c r="C278" s="34">
        <v>2434.2869999999998</v>
      </c>
      <c r="D278" s="80">
        <v>2146.7869999999998</v>
      </c>
      <c r="E278" s="34">
        <v>2007.91977</v>
      </c>
      <c r="F278" s="115">
        <f t="shared" si="49"/>
        <v>0.82484923511484065</v>
      </c>
      <c r="G278" s="581">
        <f t="shared" si="48"/>
        <v>0.93531392262017621</v>
      </c>
      <c r="H278" s="34">
        <v>221</v>
      </c>
      <c r="I278" s="34">
        <v>221</v>
      </c>
      <c r="J278" s="115">
        <f t="shared" si="51"/>
        <v>1</v>
      </c>
      <c r="K278" s="34">
        <f t="shared" si="52"/>
        <v>2655.2869999999998</v>
      </c>
      <c r="L278" s="34">
        <f t="shared" si="53"/>
        <v>2228.91977</v>
      </c>
      <c r="M278" s="115">
        <f t="shared" si="50"/>
        <v>0.83942706381645382</v>
      </c>
      <c r="N278" s="37"/>
      <c r="O278" s="301"/>
      <c r="P278" s="198"/>
    </row>
    <row r="279" spans="1:16" ht="13.8" x14ac:dyDescent="0.25">
      <c r="A279" s="299" t="s">
        <v>373</v>
      </c>
      <c r="B279" s="300" t="s">
        <v>374</v>
      </c>
      <c r="C279" s="34">
        <v>115557.58</v>
      </c>
      <c r="D279" s="80">
        <v>86226.515469999998</v>
      </c>
      <c r="E279" s="34">
        <v>84004.223200000022</v>
      </c>
      <c r="F279" s="31">
        <f t="shared" si="49"/>
        <v>0.72694688829586096</v>
      </c>
      <c r="G279" s="580">
        <f t="shared" si="48"/>
        <v>0.97422727501062989</v>
      </c>
      <c r="H279" s="15">
        <v>1666.00676</v>
      </c>
      <c r="I279" s="15">
        <v>1197.7467799999999</v>
      </c>
      <c r="J279" s="31">
        <f t="shared" si="51"/>
        <v>0.71893272509890649</v>
      </c>
      <c r="K279" s="30">
        <f>SUM(H279,C279)+0.03</f>
        <v>117223.61676</v>
      </c>
      <c r="L279" s="30">
        <f>E279+I279+0.04</f>
        <v>85202.009980000017</v>
      </c>
      <c r="M279" s="31">
        <f t="shared" si="50"/>
        <v>0.72683314450568415</v>
      </c>
      <c r="N279" s="37"/>
      <c r="O279" s="301"/>
      <c r="P279" s="198"/>
    </row>
    <row r="280" spans="1:16" s="27" customFormat="1" ht="14.25" customHeight="1" x14ac:dyDescent="0.25">
      <c r="A280" s="21" t="s">
        <v>375</v>
      </c>
      <c r="B280" s="22" t="s">
        <v>376</v>
      </c>
      <c r="C280" s="23">
        <f>C289+C290+C292+C298+C284+C297+C296</f>
        <v>220151.53399000003</v>
      </c>
      <c r="D280" s="577">
        <f>D289+D290+D292+D298+D284+D297+D296</f>
        <v>159532.55636999998</v>
      </c>
      <c r="E280" s="23">
        <f>E289+E290+E292+E298+E284+E297+E296</f>
        <v>157066.54197999995</v>
      </c>
      <c r="F280" s="25">
        <f t="shared" si="49"/>
        <v>0.71344741112335108</v>
      </c>
      <c r="G280" s="580">
        <f t="shared" si="48"/>
        <v>0.98454224989487005</v>
      </c>
      <c r="H280" s="23">
        <f>H289+H290+H292+H298+H284+H297+H296</f>
        <v>116760.87596999999</v>
      </c>
      <c r="I280" s="23">
        <f>I289+I290+I292+I298+I284+I297+I296</f>
        <v>72497.037840000005</v>
      </c>
      <c r="J280" s="25">
        <f t="shared" si="51"/>
        <v>0.62090179812137636</v>
      </c>
      <c r="K280" s="23">
        <f>SUM(H280,C280)</f>
        <v>336912.40996000002</v>
      </c>
      <c r="L280" s="23">
        <f>E280+I280</f>
        <v>229563.57981999996</v>
      </c>
      <c r="M280" s="25">
        <f t="shared" si="50"/>
        <v>0.68137466306822869</v>
      </c>
      <c r="N280" s="26" t="e">
        <f>#N/A</f>
        <v>#N/A</v>
      </c>
      <c r="O280" s="26"/>
      <c r="P280" s="198"/>
    </row>
    <row r="281" spans="1:16" ht="18" hidden="1" customHeight="1" x14ac:dyDescent="0.25">
      <c r="A281" s="725" t="s">
        <v>377</v>
      </c>
      <c r="B281" s="771" t="s">
        <v>378</v>
      </c>
      <c r="C281" s="200">
        <v>0</v>
      </c>
      <c r="D281" s="200">
        <v>0</v>
      </c>
      <c r="E281" s="200">
        <v>0</v>
      </c>
      <c r="F281" s="737" t="str">
        <f t="shared" si="49"/>
        <v/>
      </c>
      <c r="G281" s="87" t="str">
        <f t="shared" si="48"/>
        <v/>
      </c>
      <c r="H281" s="200"/>
      <c r="I281" s="200"/>
      <c r="J281" s="496" t="str">
        <f t="shared" si="51"/>
        <v/>
      </c>
      <c r="K281" s="245" t="e">
        <f>#N/A</f>
        <v>#N/A</v>
      </c>
      <c r="L281" s="245" t="e">
        <f>#N/A</f>
        <v>#N/A</v>
      </c>
      <c r="M281" s="496" t="str">
        <f t="shared" si="50"/>
        <v/>
      </c>
      <c r="N281" s="37" t="e">
        <f>#N/A</f>
        <v>#N/A</v>
      </c>
    </row>
    <row r="282" spans="1:16" ht="29.25" hidden="1" customHeight="1" x14ac:dyDescent="0.25">
      <c r="A282" s="82" t="s">
        <v>379</v>
      </c>
      <c r="B282" s="278" t="s">
        <v>380</v>
      </c>
      <c r="C282" s="86"/>
      <c r="D282" s="86"/>
      <c r="E282" s="86"/>
      <c r="F282" s="87" t="str">
        <f t="shared" si="49"/>
        <v/>
      </c>
      <c r="G282" s="87" t="str">
        <f t="shared" si="48"/>
        <v/>
      </c>
      <c r="H282" s="86"/>
      <c r="I282" s="86"/>
      <c r="J282" s="63" t="str">
        <f t="shared" si="51"/>
        <v/>
      </c>
      <c r="K282" s="84" t="e">
        <f>#N/A</f>
        <v>#N/A</v>
      </c>
      <c r="L282" s="84" t="e">
        <f>#N/A</f>
        <v>#N/A</v>
      </c>
      <c r="M282" s="63" t="str">
        <f t="shared" si="50"/>
        <v/>
      </c>
      <c r="N282" s="37" t="e">
        <f>#N/A</f>
        <v>#N/A</v>
      </c>
    </row>
    <row r="283" spans="1:16" ht="23.25" hidden="1" customHeight="1" x14ac:dyDescent="0.25">
      <c r="A283" s="673" t="s">
        <v>381</v>
      </c>
      <c r="B283" s="669" t="s">
        <v>382</v>
      </c>
      <c r="C283" s="304"/>
      <c r="D283" s="304"/>
      <c r="E283" s="304"/>
      <c r="F283" s="499" t="str">
        <f t="shared" si="49"/>
        <v/>
      </c>
      <c r="G283" s="63" t="str">
        <f t="shared" si="48"/>
        <v/>
      </c>
      <c r="H283" s="304"/>
      <c r="I283" s="304"/>
      <c r="J283" s="499" t="str">
        <f t="shared" si="51"/>
        <v/>
      </c>
      <c r="K283" s="509" t="e">
        <f>#N/A</f>
        <v>#N/A</v>
      </c>
      <c r="L283" s="509" t="e">
        <f>#N/A</f>
        <v>#N/A</v>
      </c>
      <c r="M283" s="499" t="str">
        <f t="shared" si="50"/>
        <v/>
      </c>
      <c r="N283" s="37" t="e">
        <f>#N/A</f>
        <v>#N/A</v>
      </c>
    </row>
    <row r="284" spans="1:16" ht="27" customHeight="1" x14ac:dyDescent="0.25">
      <c r="A284" s="41" t="s">
        <v>383</v>
      </c>
      <c r="B284" s="283" t="s">
        <v>384</v>
      </c>
      <c r="C284" s="34">
        <v>51740.84</v>
      </c>
      <c r="D284" s="80">
        <v>28000</v>
      </c>
      <c r="E284" s="34">
        <v>24241.893769999999</v>
      </c>
      <c r="F284" s="19">
        <f t="shared" si="49"/>
        <v>0.46852532293638838</v>
      </c>
      <c r="G284" s="581">
        <f t="shared" si="48"/>
        <v>0.86578192035714285</v>
      </c>
      <c r="H284" s="303">
        <v>25683.255100000002</v>
      </c>
      <c r="I284" s="303">
        <v>4695.42292</v>
      </c>
      <c r="J284" s="305">
        <f t="shared" si="51"/>
        <v>0.18282039802657254</v>
      </c>
      <c r="K284" s="35">
        <f>SUM(H284,C284)</f>
        <v>77424.095100000006</v>
      </c>
      <c r="L284" s="34">
        <f>E284+I284</f>
        <v>28937.31669</v>
      </c>
      <c r="M284" s="115">
        <f>IFERROR(L284/K284,"")</f>
        <v>0.37375078975898807</v>
      </c>
      <c r="N284" s="37" t="e">
        <f>#N/A</f>
        <v>#N/A</v>
      </c>
    </row>
    <row r="285" spans="1:16" ht="13.8" x14ac:dyDescent="0.25">
      <c r="A285" s="41" t="s">
        <v>385</v>
      </c>
      <c r="B285" s="283" t="s">
        <v>386</v>
      </c>
      <c r="C285" s="34"/>
      <c r="D285" s="80"/>
      <c r="E285" s="34"/>
      <c r="F285" s="19"/>
      <c r="G285" s="581"/>
      <c r="H285" s="303">
        <v>2943.5822899999998</v>
      </c>
      <c r="I285" s="303">
        <v>1435.75055</v>
      </c>
      <c r="J285" s="305">
        <f t="shared" si="51"/>
        <v>0.4877562128558669</v>
      </c>
      <c r="K285" s="35">
        <f t="shared" ref="K285:K289" si="54">SUM(H285,C285)</f>
        <v>2943.5822899999998</v>
      </c>
      <c r="L285" s="34">
        <f t="shared" ref="L285:L288" si="55">E285+I285</f>
        <v>1435.75055</v>
      </c>
      <c r="M285" s="115">
        <f t="shared" ref="M285:M290" si="56">IFERROR(L285/K285,"")</f>
        <v>0.4877562128558669</v>
      </c>
      <c r="N285" s="37"/>
    </row>
    <row r="286" spans="1:16" ht="27" customHeight="1" x14ac:dyDescent="0.25">
      <c r="A286" s="41" t="s">
        <v>387</v>
      </c>
      <c r="B286" s="283" t="s">
        <v>388</v>
      </c>
      <c r="C286" s="34"/>
      <c r="D286" s="80"/>
      <c r="E286" s="34"/>
      <c r="F286" s="19"/>
      <c r="G286" s="581"/>
      <c r="H286" s="303">
        <v>12000</v>
      </c>
      <c r="I286" s="303"/>
      <c r="J286" s="305">
        <f t="shared" si="51"/>
        <v>0</v>
      </c>
      <c r="K286" s="35">
        <f t="shared" si="54"/>
        <v>12000</v>
      </c>
      <c r="L286" s="34">
        <f t="shared" si="55"/>
        <v>0</v>
      </c>
      <c r="M286" s="115">
        <f t="shared" si="56"/>
        <v>0</v>
      </c>
      <c r="N286" s="37"/>
    </row>
    <row r="287" spans="1:16" ht="13.8" x14ac:dyDescent="0.25">
      <c r="A287" s="41" t="s">
        <v>389</v>
      </c>
      <c r="B287" s="283" t="s">
        <v>390</v>
      </c>
      <c r="C287" s="34"/>
      <c r="D287" s="80"/>
      <c r="E287" s="34"/>
      <c r="F287" s="19"/>
      <c r="G287" s="581"/>
      <c r="H287" s="303">
        <v>742</v>
      </c>
      <c r="I287" s="303"/>
      <c r="J287" s="305">
        <f t="shared" si="51"/>
        <v>0</v>
      </c>
      <c r="K287" s="35">
        <f t="shared" si="54"/>
        <v>742</v>
      </c>
      <c r="L287" s="34">
        <f t="shared" si="55"/>
        <v>0</v>
      </c>
      <c r="M287" s="115">
        <f t="shared" si="56"/>
        <v>0</v>
      </c>
      <c r="N287" s="37"/>
    </row>
    <row r="288" spans="1:16" ht="13.8" x14ac:dyDescent="0.25">
      <c r="A288" s="41" t="s">
        <v>391</v>
      </c>
      <c r="B288" s="283" t="s">
        <v>392</v>
      </c>
      <c r="C288" s="34"/>
      <c r="D288" s="80"/>
      <c r="E288" s="34"/>
      <c r="F288" s="19"/>
      <c r="G288" s="581"/>
      <c r="H288" s="303">
        <v>9997.67281</v>
      </c>
      <c r="I288" s="303">
        <v>3259.6723700000002</v>
      </c>
      <c r="J288" s="305">
        <f t="shared" si="51"/>
        <v>0.32604311342731374</v>
      </c>
      <c r="K288" s="35">
        <f t="shared" si="54"/>
        <v>9997.67281</v>
      </c>
      <c r="L288" s="34">
        <f t="shared" si="55"/>
        <v>3259.6723700000002</v>
      </c>
      <c r="M288" s="115">
        <f t="shared" si="56"/>
        <v>0.32604311342731374</v>
      </c>
      <c r="N288" s="37"/>
    </row>
    <row r="289" spans="1:16" ht="15.75" customHeight="1" x14ac:dyDescent="0.25">
      <c r="A289" s="41" t="s">
        <v>393</v>
      </c>
      <c r="B289" s="283" t="s">
        <v>394</v>
      </c>
      <c r="C289" s="34">
        <v>165028.36900000001</v>
      </c>
      <c r="D289" s="80">
        <v>128749.97937999999</v>
      </c>
      <c r="E289" s="34">
        <v>130537.92473999997</v>
      </c>
      <c r="F289" s="19">
        <f t="shared" si="49"/>
        <v>0.7910029380463669</v>
      </c>
      <c r="G289" s="581">
        <f t="shared" si="48"/>
        <v>1.0138869564764972</v>
      </c>
      <c r="H289" s="35">
        <v>91000.922869999995</v>
      </c>
      <c r="I289" s="35">
        <v>67770.942920000001</v>
      </c>
      <c r="J289" s="305">
        <f t="shared" si="51"/>
        <v>0.74472808387684875</v>
      </c>
      <c r="K289" s="35">
        <f t="shared" si="54"/>
        <v>256029.29187000002</v>
      </c>
      <c r="L289" s="34">
        <f>E289+I289</f>
        <v>198308.86765999999</v>
      </c>
      <c r="M289" s="115">
        <f t="shared" si="56"/>
        <v>0.77455538861034767</v>
      </c>
      <c r="N289" s="37"/>
      <c r="P289" s="198"/>
    </row>
    <row r="290" spans="1:16" ht="19.5" customHeight="1" x14ac:dyDescent="0.25">
      <c r="A290" s="41" t="s">
        <v>395</v>
      </c>
      <c r="B290" s="283" t="s">
        <v>396</v>
      </c>
      <c r="C290" s="34">
        <v>114.54300000000001</v>
      </c>
      <c r="D290" s="80">
        <v>57</v>
      </c>
      <c r="E290" s="34">
        <v>0</v>
      </c>
      <c r="F290" s="19">
        <f t="shared" si="49"/>
        <v>0</v>
      </c>
      <c r="G290" s="599">
        <f t="shared" si="48"/>
        <v>0</v>
      </c>
      <c r="H290" s="35">
        <v>0</v>
      </c>
      <c r="I290" s="35">
        <v>0</v>
      </c>
      <c r="J290" s="305" t="str">
        <f t="shared" si="51"/>
        <v/>
      </c>
      <c r="K290" s="35">
        <f>SUM(H290,C290)</f>
        <v>114.54300000000001</v>
      </c>
      <c r="L290" s="34">
        <f>E290+I290</f>
        <v>0</v>
      </c>
      <c r="M290" s="115">
        <f t="shared" si="56"/>
        <v>0</v>
      </c>
      <c r="N290" s="37"/>
      <c r="P290" s="198"/>
    </row>
    <row r="291" spans="1:16" ht="17.25" hidden="1" customHeight="1" x14ac:dyDescent="0.25">
      <c r="A291" s="784" t="s">
        <v>397</v>
      </c>
      <c r="B291" s="777" t="s">
        <v>398</v>
      </c>
      <c r="C291" s="8">
        <v>0</v>
      </c>
      <c r="D291" s="8">
        <v>0</v>
      </c>
      <c r="E291" s="8">
        <v>0</v>
      </c>
      <c r="F291" s="785" t="str">
        <f t="shared" si="49"/>
        <v/>
      </c>
      <c r="G291" s="255" t="str">
        <f t="shared" si="48"/>
        <v/>
      </c>
      <c r="H291" s="8">
        <v>0</v>
      </c>
      <c r="I291" s="8">
        <v>0</v>
      </c>
      <c r="J291" s="759" t="str">
        <f t="shared" si="51"/>
        <v/>
      </c>
      <c r="K291" s="227">
        <f>SUM(H291,C291)</f>
        <v>0</v>
      </c>
      <c r="L291" s="227">
        <f>E291+I291</f>
        <v>0</v>
      </c>
      <c r="M291" s="786" t="str">
        <f t="shared" si="50"/>
        <v/>
      </c>
      <c r="N291" s="37"/>
      <c r="P291" s="198"/>
    </row>
    <row r="292" spans="1:16" ht="14.25" hidden="1" customHeight="1" x14ac:dyDescent="0.25">
      <c r="A292" s="306" t="s">
        <v>399</v>
      </c>
      <c r="B292" s="283" t="s">
        <v>400</v>
      </c>
      <c r="C292" s="8">
        <v>0</v>
      </c>
      <c r="D292" s="8">
        <v>0</v>
      </c>
      <c r="E292" s="8">
        <v>0</v>
      </c>
      <c r="F292" s="61" t="str">
        <f t="shared" si="49"/>
        <v/>
      </c>
      <c r="G292" s="61" t="str">
        <f t="shared" si="48"/>
        <v/>
      </c>
      <c r="H292" s="8">
        <v>0</v>
      </c>
      <c r="I292" s="8">
        <v>0</v>
      </c>
      <c r="J292" s="61" t="str">
        <f t="shared" si="51"/>
        <v/>
      </c>
      <c r="K292" s="174">
        <f>SUM(H292,C292)</f>
        <v>0</v>
      </c>
      <c r="L292" s="174">
        <f>E292+I292</f>
        <v>0</v>
      </c>
      <c r="M292" s="61" t="str">
        <f t="shared" si="50"/>
        <v/>
      </c>
      <c r="N292" s="37" t="e">
        <f>#N/A</f>
        <v>#N/A</v>
      </c>
      <c r="P292" s="198"/>
    </row>
    <row r="293" spans="1:16" ht="15" hidden="1" customHeight="1" x14ac:dyDescent="0.25">
      <c r="A293" s="82" t="s">
        <v>401</v>
      </c>
      <c r="B293" s="278" t="s">
        <v>402</v>
      </c>
      <c r="C293" s="8">
        <v>0</v>
      </c>
      <c r="D293" s="8">
        <v>0</v>
      </c>
      <c r="E293" s="8">
        <v>0</v>
      </c>
      <c r="F293" s="63" t="str">
        <f t="shared" si="49"/>
        <v/>
      </c>
      <c r="G293" s="87" t="str">
        <f t="shared" si="48"/>
        <v/>
      </c>
      <c r="H293" s="8">
        <v>0</v>
      </c>
      <c r="I293" s="8">
        <v>0</v>
      </c>
      <c r="J293" s="63" t="str">
        <f t="shared" si="51"/>
        <v/>
      </c>
      <c r="K293" s="84" t="e">
        <f>#N/A</f>
        <v>#N/A</v>
      </c>
      <c r="L293" s="84" t="e">
        <f>#N/A</f>
        <v>#N/A</v>
      </c>
      <c r="M293" s="63" t="str">
        <f t="shared" si="50"/>
        <v/>
      </c>
      <c r="N293" s="37" t="e">
        <f>#N/A</f>
        <v>#N/A</v>
      </c>
    </row>
    <row r="294" spans="1:16" ht="18" hidden="1" customHeight="1" x14ac:dyDescent="0.25">
      <c r="A294" s="82" t="s">
        <v>403</v>
      </c>
      <c r="B294" s="278">
        <v>100207</v>
      </c>
      <c r="C294" s="8">
        <v>0</v>
      </c>
      <c r="D294" s="8">
        <v>0</v>
      </c>
      <c r="E294" s="8">
        <v>0</v>
      </c>
      <c r="F294" s="63" t="str">
        <f t="shared" si="49"/>
        <v/>
      </c>
      <c r="G294" s="87" t="str">
        <f t="shared" si="48"/>
        <v/>
      </c>
      <c r="H294" s="8">
        <v>0</v>
      </c>
      <c r="I294" s="8">
        <v>0</v>
      </c>
      <c r="J294" s="63" t="str">
        <f t="shared" si="51"/>
        <v/>
      </c>
      <c r="K294" s="84" t="e">
        <f>#N/A</f>
        <v>#N/A</v>
      </c>
      <c r="L294" s="84" t="e">
        <f>#N/A</f>
        <v>#N/A</v>
      </c>
      <c r="M294" s="63" t="str">
        <f t="shared" si="50"/>
        <v/>
      </c>
      <c r="N294" s="37" t="e">
        <f>#N/A</f>
        <v>#N/A</v>
      </c>
    </row>
    <row r="295" spans="1:16" ht="13.5" hidden="1" customHeight="1" x14ac:dyDescent="0.25">
      <c r="A295" s="633" t="s">
        <v>404</v>
      </c>
      <c r="B295" s="669" t="s">
        <v>405</v>
      </c>
      <c r="C295" s="8">
        <v>0</v>
      </c>
      <c r="D295" s="8">
        <v>0</v>
      </c>
      <c r="E295" s="8">
        <v>0</v>
      </c>
      <c r="F295" s="499" t="str">
        <f t="shared" si="49"/>
        <v/>
      </c>
      <c r="G295" s="87" t="str">
        <f t="shared" si="48"/>
        <v/>
      </c>
      <c r="H295" s="8">
        <v>0</v>
      </c>
      <c r="I295" s="8">
        <v>0</v>
      </c>
      <c r="J295" s="499" t="str">
        <f t="shared" si="51"/>
        <v/>
      </c>
      <c r="K295" s="216" t="e">
        <f>#N/A</f>
        <v>#N/A</v>
      </c>
      <c r="L295" s="216" t="e">
        <f>#N/A</f>
        <v>#N/A</v>
      </c>
      <c r="M295" s="499" t="str">
        <f t="shared" si="50"/>
        <v/>
      </c>
      <c r="N295" s="37" t="e">
        <f>#N/A</f>
        <v>#N/A</v>
      </c>
    </row>
    <row r="296" spans="1:16" ht="21" customHeight="1" x14ac:dyDescent="0.25">
      <c r="A296" s="41" t="s">
        <v>397</v>
      </c>
      <c r="B296" s="283" t="s">
        <v>398</v>
      </c>
      <c r="C296" s="35">
        <v>382.92698999999999</v>
      </c>
      <c r="D296" s="592">
        <v>382.92698999999999</v>
      </c>
      <c r="E296" s="35">
        <v>0</v>
      </c>
      <c r="F296" s="19">
        <f t="shared" si="49"/>
        <v>0</v>
      </c>
      <c r="G296" s="599">
        <f t="shared" si="48"/>
        <v>0</v>
      </c>
      <c r="H296" s="35"/>
      <c r="I296" s="35"/>
      <c r="J296" s="305" t="str">
        <f t="shared" si="51"/>
        <v/>
      </c>
      <c r="K296" s="35">
        <f>SUM(H296,C296)</f>
        <v>382.92698999999999</v>
      </c>
      <c r="L296" s="34">
        <f>E296+I296</f>
        <v>0</v>
      </c>
      <c r="M296" s="115">
        <f t="shared" si="50"/>
        <v>0</v>
      </c>
      <c r="N296" s="37" t="e">
        <f>#N/A</f>
        <v>#N/A</v>
      </c>
    </row>
    <row r="297" spans="1:16" ht="16.5" customHeight="1" x14ac:dyDescent="0.25">
      <c r="A297" s="41" t="s">
        <v>399</v>
      </c>
      <c r="B297" s="283" t="s">
        <v>400</v>
      </c>
      <c r="C297" s="34">
        <v>857.14099999999996</v>
      </c>
      <c r="D297" s="80">
        <v>830.65</v>
      </c>
      <c r="E297" s="34">
        <v>827.12900000000002</v>
      </c>
      <c r="F297" s="19">
        <f t="shared" si="49"/>
        <v>0.96498592413616902</v>
      </c>
      <c r="G297" s="581">
        <f t="shared" si="48"/>
        <v>0.9957611509059171</v>
      </c>
      <c r="H297" s="303">
        <v>76.697999999999993</v>
      </c>
      <c r="I297" s="303">
        <v>30.672000000000001</v>
      </c>
      <c r="J297" s="305">
        <f t="shared" si="51"/>
        <v>0.39990612532269426</v>
      </c>
      <c r="K297" s="35">
        <f>SUM(H297,C297)-0.03</f>
        <v>933.80899999999997</v>
      </c>
      <c r="L297" s="34">
        <f>E297+I297</f>
        <v>857.80100000000004</v>
      </c>
      <c r="M297" s="115">
        <f>IFERROR(L297/K297,"")</f>
        <v>0.91860433985965018</v>
      </c>
      <c r="N297" s="37" t="e">
        <f>#N/A</f>
        <v>#N/A</v>
      </c>
    </row>
    <row r="298" spans="1:16" ht="24" customHeight="1" x14ac:dyDescent="0.25">
      <c r="A298" s="41" t="s">
        <v>406</v>
      </c>
      <c r="B298" s="283" t="s">
        <v>407</v>
      </c>
      <c r="C298" s="34">
        <v>2027.7139999999999</v>
      </c>
      <c r="D298" s="80">
        <v>1512</v>
      </c>
      <c r="E298" s="34">
        <v>1459.59447</v>
      </c>
      <c r="F298" s="19">
        <f t="shared" si="49"/>
        <v>0.71982265250424859</v>
      </c>
      <c r="G298" s="581">
        <f t="shared" si="48"/>
        <v>0.96534025793650791</v>
      </c>
      <c r="H298" s="35">
        <v>0</v>
      </c>
      <c r="I298" s="35"/>
      <c r="J298" s="305" t="str">
        <f t="shared" si="51"/>
        <v/>
      </c>
      <c r="K298" s="35">
        <f>SUM(H298,C298)</f>
        <v>2027.7139999999999</v>
      </c>
      <c r="L298" s="34">
        <f>E298+I298</f>
        <v>1459.59447</v>
      </c>
      <c r="M298" s="115">
        <f t="shared" si="50"/>
        <v>0.71982265250424859</v>
      </c>
      <c r="N298" s="37" t="e">
        <f>#N/A</f>
        <v>#N/A</v>
      </c>
    </row>
    <row r="299" spans="1:16" ht="30.75" hidden="1" customHeight="1" x14ac:dyDescent="0.25">
      <c r="A299" s="787" t="s">
        <v>408</v>
      </c>
      <c r="B299" s="788" t="s">
        <v>409</v>
      </c>
      <c r="C299" s="307">
        <f>C301+C304+C300</f>
        <v>0</v>
      </c>
      <c r="D299" s="307">
        <f>D301+D304+D300</f>
        <v>0</v>
      </c>
      <c r="E299" s="307">
        <f>E301+E304+E300</f>
        <v>0</v>
      </c>
      <c r="F299" s="789" t="str">
        <f t="shared" si="49"/>
        <v/>
      </c>
      <c r="G299" s="151" t="str">
        <f t="shared" si="48"/>
        <v/>
      </c>
      <c r="H299" s="307">
        <f>H301+H304+H300+H302+H303</f>
        <v>0</v>
      </c>
      <c r="I299" s="307">
        <f>I301+I304+I300+I302+I303</f>
        <v>0</v>
      </c>
      <c r="J299" s="785" t="str">
        <f t="shared" si="51"/>
        <v/>
      </c>
      <c r="K299" s="790" t="e">
        <f>#N/A</f>
        <v>#N/A</v>
      </c>
      <c r="L299" s="790" t="e">
        <f>#N/A</f>
        <v>#N/A</v>
      </c>
      <c r="M299" s="789" t="str">
        <f t="shared" si="50"/>
        <v/>
      </c>
      <c r="N299" s="37"/>
      <c r="O299" s="308"/>
      <c r="P299" s="308"/>
    </row>
    <row r="300" spans="1:16" ht="30.75" hidden="1" customHeight="1" x14ac:dyDescent="0.25">
      <c r="A300" s="103" t="s">
        <v>410</v>
      </c>
      <c r="B300" s="294" t="s">
        <v>411</v>
      </c>
      <c r="C300" s="309"/>
      <c r="D300" s="309"/>
      <c r="E300" s="309"/>
      <c r="F300" s="151" t="str">
        <f t="shared" si="49"/>
        <v/>
      </c>
      <c r="G300" s="151" t="str">
        <f t="shared" si="48"/>
        <v/>
      </c>
      <c r="H300" s="310">
        <v>0</v>
      </c>
      <c r="I300" s="310">
        <v>0</v>
      </c>
      <c r="J300" s="104" t="str">
        <f t="shared" si="51"/>
        <v/>
      </c>
      <c r="K300" s="97" t="e">
        <f>#N/A</f>
        <v>#N/A</v>
      </c>
      <c r="L300" s="174" t="e">
        <f>#N/A</f>
        <v>#N/A</v>
      </c>
      <c r="M300" s="61" t="str">
        <f t="shared" si="50"/>
        <v/>
      </c>
      <c r="N300" s="37"/>
      <c r="O300" s="308"/>
      <c r="P300" s="308"/>
    </row>
    <row r="301" spans="1:16" ht="27.75" hidden="1" customHeight="1" x14ac:dyDescent="0.25">
      <c r="A301" s="306" t="s">
        <v>412</v>
      </c>
      <c r="B301" s="283" t="s">
        <v>413</v>
      </c>
      <c r="C301" s="60">
        <v>0</v>
      </c>
      <c r="D301" s="60">
        <v>0</v>
      </c>
      <c r="E301" s="60">
        <v>0</v>
      </c>
      <c r="F301" s="180" t="str">
        <f t="shared" si="49"/>
        <v/>
      </c>
      <c r="G301" s="151" t="str">
        <f t="shared" si="48"/>
        <v/>
      </c>
      <c r="H301" s="60">
        <v>0</v>
      </c>
      <c r="I301" s="60">
        <v>0</v>
      </c>
      <c r="J301" s="104" t="str">
        <f t="shared" si="51"/>
        <v/>
      </c>
      <c r="K301" s="97" t="e">
        <f>#N/A</f>
        <v>#N/A</v>
      </c>
      <c r="L301" s="174" t="e">
        <f>#N/A</f>
        <v>#N/A</v>
      </c>
      <c r="M301" s="61" t="str">
        <f t="shared" si="50"/>
        <v/>
      </c>
      <c r="N301" s="37"/>
      <c r="P301" s="198"/>
    </row>
    <row r="302" spans="1:16" ht="17.25" hidden="1" customHeight="1" x14ac:dyDescent="0.25">
      <c r="A302" s="306" t="s">
        <v>414</v>
      </c>
      <c r="B302" s="283" t="s">
        <v>415</v>
      </c>
      <c r="C302" s="60"/>
      <c r="D302" s="60"/>
      <c r="E302" s="60"/>
      <c r="F302" s="180" t="str">
        <f t="shared" si="49"/>
        <v/>
      </c>
      <c r="G302" s="151" t="str">
        <f t="shared" si="48"/>
        <v/>
      </c>
      <c r="H302" s="60">
        <v>0</v>
      </c>
      <c r="I302" s="60"/>
      <c r="J302" s="104" t="str">
        <f t="shared" si="51"/>
        <v/>
      </c>
      <c r="K302" s="97" t="e">
        <f>#N/A</f>
        <v>#N/A</v>
      </c>
      <c r="L302" s="174" t="e">
        <f>#N/A</f>
        <v>#N/A</v>
      </c>
      <c r="M302" s="61" t="str">
        <f t="shared" si="50"/>
        <v/>
      </c>
      <c r="N302" s="37"/>
      <c r="P302" s="198"/>
    </row>
    <row r="303" spans="1:16" ht="16.5" hidden="1" customHeight="1" x14ac:dyDescent="0.25">
      <c r="A303" s="306" t="s">
        <v>416</v>
      </c>
      <c r="B303" s="283" t="s">
        <v>417</v>
      </c>
      <c r="C303" s="60"/>
      <c r="D303" s="60"/>
      <c r="E303" s="60"/>
      <c r="F303" s="180" t="str">
        <f t="shared" si="49"/>
        <v/>
      </c>
      <c r="G303" s="151" t="str">
        <f t="shared" si="48"/>
        <v/>
      </c>
      <c r="H303" s="60">
        <v>0</v>
      </c>
      <c r="I303" s="60">
        <v>0</v>
      </c>
      <c r="J303" s="104" t="str">
        <f t="shared" si="51"/>
        <v/>
      </c>
      <c r="K303" s="97" t="e">
        <f>#N/A</f>
        <v>#N/A</v>
      </c>
      <c r="L303" s="174" t="e">
        <f>#N/A</f>
        <v>#N/A</v>
      </c>
      <c r="M303" s="61" t="str">
        <f t="shared" si="50"/>
        <v/>
      </c>
      <c r="N303" s="37"/>
      <c r="P303" s="198"/>
    </row>
    <row r="304" spans="1:16" ht="19.5" hidden="1" customHeight="1" x14ac:dyDescent="0.25">
      <c r="A304" s="306" t="s">
        <v>418</v>
      </c>
      <c r="B304" s="283" t="s">
        <v>419</v>
      </c>
      <c r="C304" s="60">
        <v>0</v>
      </c>
      <c r="D304" s="60">
        <v>0</v>
      </c>
      <c r="E304" s="60">
        <v>0</v>
      </c>
      <c r="F304" s="61" t="str">
        <f t="shared" si="49"/>
        <v/>
      </c>
      <c r="G304" s="104" t="str">
        <f t="shared" si="48"/>
        <v/>
      </c>
      <c r="H304" s="60">
        <v>0</v>
      </c>
      <c r="I304" s="60">
        <v>0</v>
      </c>
      <c r="J304" s="104" t="str">
        <f t="shared" si="51"/>
        <v/>
      </c>
      <c r="K304" s="97" t="e">
        <f>#N/A</f>
        <v>#N/A</v>
      </c>
      <c r="L304" s="174" t="e">
        <f>#N/A</f>
        <v>#N/A</v>
      </c>
      <c r="M304" s="61" t="str">
        <f t="shared" si="50"/>
        <v/>
      </c>
      <c r="N304" s="37"/>
      <c r="P304" s="198"/>
    </row>
    <row r="305" spans="1:16" ht="21.75" hidden="1" customHeight="1" x14ac:dyDescent="0.25">
      <c r="A305" s="90" t="s">
        <v>420</v>
      </c>
      <c r="B305" s="311" t="s">
        <v>421</v>
      </c>
      <c r="C305" s="312">
        <f>C308</f>
        <v>0</v>
      </c>
      <c r="D305" s="62">
        <f>D308</f>
        <v>0</v>
      </c>
      <c r="E305" s="312">
        <f>E308</f>
        <v>0</v>
      </c>
      <c r="F305" s="313" t="str">
        <f t="shared" si="49"/>
        <v/>
      </c>
      <c r="G305" s="183" t="str">
        <f t="shared" ref="G305:G374" si="57">IFERROR(E305/D305,"")</f>
        <v/>
      </c>
      <c r="H305" s="312">
        <v>0</v>
      </c>
      <c r="I305" s="312" t="s">
        <v>422</v>
      </c>
      <c r="J305" s="255" t="str">
        <f t="shared" si="51"/>
        <v/>
      </c>
      <c r="K305" s="314" t="e">
        <f>#N/A</f>
        <v>#N/A</v>
      </c>
      <c r="L305" s="314" t="e">
        <f>#N/A</f>
        <v>#N/A</v>
      </c>
      <c r="M305" s="56" t="str">
        <f t="shared" si="50"/>
        <v/>
      </c>
      <c r="N305" s="37"/>
      <c r="O305" s="301"/>
      <c r="P305" s="198"/>
    </row>
    <row r="306" spans="1:16" ht="22.5" hidden="1" customHeight="1" x14ac:dyDescent="0.25">
      <c r="A306" s="633" t="s">
        <v>423</v>
      </c>
      <c r="B306" s="674" t="s">
        <v>424</v>
      </c>
      <c r="C306" s="315"/>
      <c r="D306" s="134"/>
      <c r="E306" s="315"/>
      <c r="F306" s="675" t="str">
        <f t="shared" si="49"/>
        <v/>
      </c>
      <c r="G306" s="183" t="str">
        <f t="shared" si="57"/>
        <v/>
      </c>
      <c r="H306" s="316"/>
      <c r="I306" s="316"/>
      <c r="J306" s="676" t="str">
        <f t="shared" si="51"/>
        <v/>
      </c>
      <c r="K306" s="244" t="e">
        <f>#N/A</f>
        <v>#N/A</v>
      </c>
      <c r="L306" s="244" t="e">
        <f>#N/A</f>
        <v>#N/A</v>
      </c>
      <c r="M306" s="499" t="str">
        <f t="shared" si="50"/>
        <v/>
      </c>
      <c r="N306" s="37"/>
      <c r="P306" s="198"/>
    </row>
    <row r="307" spans="1:16" ht="13.5" customHeight="1" x14ac:dyDescent="0.25">
      <c r="A307" s="28" t="s">
        <v>408</v>
      </c>
      <c r="B307" s="300" t="s">
        <v>409</v>
      </c>
      <c r="C307" s="128">
        <f>SUBTOTAL(9,C308:C316)</f>
        <v>2090</v>
      </c>
      <c r="D307" s="582">
        <f t="shared" ref="D307:E307" si="58">SUBTOTAL(9,D308:D316)</f>
        <v>1500</v>
      </c>
      <c r="E307" s="128">
        <f t="shared" si="58"/>
        <v>128.93010000000001</v>
      </c>
      <c r="F307" s="19">
        <f t="shared" si="49"/>
        <v>6.1689043062200959E-2</v>
      </c>
      <c r="G307" s="583">
        <f t="shared" si="57"/>
        <v>8.5953400000000013E-2</v>
      </c>
      <c r="H307" s="318">
        <f>H308+H309+H312+H313+H315+H311+H316+H310+H314</f>
        <v>126651.53932</v>
      </c>
      <c r="I307" s="318">
        <f>I308+I309+I312+I313+I315+I311+I316+I310</f>
        <v>12896.753279999999</v>
      </c>
      <c r="J307" s="25">
        <f t="shared" si="51"/>
        <v>0.10182863429251213</v>
      </c>
      <c r="K307" s="23">
        <f t="shared" ref="K307:K345" si="59">SUM(H307,C307)</f>
        <v>128741.53932</v>
      </c>
      <c r="L307" s="23">
        <f t="shared" ref="L307:L345" si="60">E307+I307</f>
        <v>13025.683379999999</v>
      </c>
      <c r="M307" s="25">
        <f t="shared" si="50"/>
        <v>0.10117700509719212</v>
      </c>
      <c r="N307" s="37"/>
      <c r="P307" s="198"/>
    </row>
    <row r="308" spans="1:16" ht="13.8" x14ac:dyDescent="0.25">
      <c r="A308" s="41" t="s">
        <v>410</v>
      </c>
      <c r="B308" s="283" t="s">
        <v>411</v>
      </c>
      <c r="C308" s="70"/>
      <c r="D308" s="586"/>
      <c r="E308" s="70"/>
      <c r="F308" s="19" t="str">
        <f t="shared" ref="F308:F371" si="61">IFERROR(E308/C308,"")</f>
        <v/>
      </c>
      <c r="G308" s="583" t="str">
        <f t="shared" si="57"/>
        <v/>
      </c>
      <c r="H308" s="303">
        <v>4234.1535199999998</v>
      </c>
      <c r="I308" s="303">
        <v>1374.33951</v>
      </c>
      <c r="J308" s="305">
        <f t="shared" si="51"/>
        <v>0.32458424181086376</v>
      </c>
      <c r="K308" s="35">
        <f t="shared" si="59"/>
        <v>4234.1535199999998</v>
      </c>
      <c r="L308" s="34">
        <f t="shared" si="60"/>
        <v>1374.33951</v>
      </c>
      <c r="M308" s="115">
        <f t="shared" si="50"/>
        <v>0.32458424181086376</v>
      </c>
      <c r="N308" s="37"/>
      <c r="P308" s="198"/>
    </row>
    <row r="309" spans="1:16" ht="13.8" hidden="1" x14ac:dyDescent="0.25">
      <c r="A309" s="791" t="s">
        <v>412</v>
      </c>
      <c r="B309" s="773" t="s">
        <v>413</v>
      </c>
      <c r="C309" s="73"/>
      <c r="D309" s="201"/>
      <c r="E309" s="73"/>
      <c r="F309" s="774" t="str">
        <f t="shared" si="61"/>
        <v/>
      </c>
      <c r="G309" s="138" t="str">
        <f t="shared" si="57"/>
        <v/>
      </c>
      <c r="H309" s="792"/>
      <c r="I309" s="792"/>
      <c r="J309" s="793" t="str">
        <f t="shared" si="51"/>
        <v/>
      </c>
      <c r="K309" s="774">
        <f t="shared" si="59"/>
        <v>0</v>
      </c>
      <c r="L309" s="794">
        <f t="shared" si="60"/>
        <v>0</v>
      </c>
      <c r="M309" s="794" t="str">
        <f t="shared" ref="M309:M378" si="62">IFERROR(L309/K309,"")</f>
        <v/>
      </c>
      <c r="N309" s="37"/>
      <c r="P309" s="198"/>
    </row>
    <row r="310" spans="1:16" ht="13.8" x14ac:dyDescent="0.25">
      <c r="A310" s="41" t="s">
        <v>425</v>
      </c>
      <c r="B310" s="283" t="s">
        <v>426</v>
      </c>
      <c r="C310" s="70"/>
      <c r="D310" s="600"/>
      <c r="E310" s="70"/>
      <c r="F310" s="19"/>
      <c r="G310" s="583"/>
      <c r="H310" s="303">
        <v>26122.263800000001</v>
      </c>
      <c r="I310" s="303">
        <v>10122.413769999999</v>
      </c>
      <c r="J310" s="305">
        <f t="shared" si="51"/>
        <v>0.38750139909390235</v>
      </c>
      <c r="K310" s="35">
        <f t="shared" si="59"/>
        <v>26122.263800000001</v>
      </c>
      <c r="L310" s="34">
        <f t="shared" si="60"/>
        <v>10122.413769999999</v>
      </c>
      <c r="M310" s="115">
        <f t="shared" si="62"/>
        <v>0.38750139909390235</v>
      </c>
      <c r="N310" s="37"/>
      <c r="P310" s="198"/>
    </row>
    <row r="311" spans="1:16" ht="15" customHeight="1" x14ac:dyDescent="0.25">
      <c r="A311" s="82" t="s">
        <v>427</v>
      </c>
      <c r="B311" s="278" t="s">
        <v>428</v>
      </c>
      <c r="C311" s="70"/>
      <c r="D311" s="601"/>
      <c r="E311" s="70"/>
      <c r="F311" s="19" t="str">
        <f t="shared" si="61"/>
        <v/>
      </c>
      <c r="G311" s="593" t="str">
        <f t="shared" si="57"/>
        <v/>
      </c>
      <c r="H311" s="35">
        <v>140</v>
      </c>
      <c r="I311" s="35">
        <v>0</v>
      </c>
      <c r="J311" s="305">
        <f t="shared" si="51"/>
        <v>0</v>
      </c>
      <c r="K311" s="35">
        <f t="shared" si="59"/>
        <v>140</v>
      </c>
      <c r="L311" s="34">
        <f t="shared" si="60"/>
        <v>0</v>
      </c>
      <c r="M311" s="115">
        <f t="shared" si="62"/>
        <v>0</v>
      </c>
      <c r="N311" s="37"/>
      <c r="P311" s="198"/>
    </row>
    <row r="312" spans="1:16" ht="13.8" x14ac:dyDescent="0.25">
      <c r="A312" s="41" t="s">
        <v>429</v>
      </c>
      <c r="B312" s="283" t="s">
        <v>430</v>
      </c>
      <c r="C312" s="34">
        <v>2090</v>
      </c>
      <c r="D312" s="80">
        <v>1500</v>
      </c>
      <c r="E312" s="34">
        <v>128.93010000000001</v>
      </c>
      <c r="F312" s="19">
        <f t="shared" si="61"/>
        <v>6.1689043062200959E-2</v>
      </c>
      <c r="G312" s="583">
        <f t="shared" si="57"/>
        <v>8.5953400000000013E-2</v>
      </c>
      <c r="H312" s="35">
        <v>400</v>
      </c>
      <c r="I312" s="35"/>
      <c r="J312" s="305">
        <f t="shared" si="51"/>
        <v>0</v>
      </c>
      <c r="K312" s="35">
        <f t="shared" si="59"/>
        <v>2490</v>
      </c>
      <c r="L312" s="34">
        <f t="shared" si="60"/>
        <v>128.93010000000001</v>
      </c>
      <c r="M312" s="115">
        <f t="shared" si="62"/>
        <v>5.1779156626506027E-2</v>
      </c>
      <c r="N312" s="37"/>
      <c r="P312" s="198"/>
    </row>
    <row r="313" spans="1:16" ht="13.8" x14ac:dyDescent="0.25">
      <c r="A313" s="41" t="s">
        <v>416</v>
      </c>
      <c r="B313" s="283" t="s">
        <v>417</v>
      </c>
      <c r="C313" s="70"/>
      <c r="D313" s="602"/>
      <c r="E313" s="70"/>
      <c r="F313" s="19" t="str">
        <f t="shared" si="61"/>
        <v/>
      </c>
      <c r="G313" s="583" t="str">
        <f t="shared" si="57"/>
        <v/>
      </c>
      <c r="H313" s="303">
        <v>95755.122000000003</v>
      </c>
      <c r="I313" s="35">
        <v>1400</v>
      </c>
      <c r="J313" s="305">
        <f t="shared" si="51"/>
        <v>1.4620627813517901E-2</v>
      </c>
      <c r="K313" s="35">
        <f t="shared" si="59"/>
        <v>95755.122000000003</v>
      </c>
      <c r="L313" s="34">
        <f t="shared" si="60"/>
        <v>1400</v>
      </c>
      <c r="M313" s="115">
        <f t="shared" si="62"/>
        <v>1.4620627813517901E-2</v>
      </c>
      <c r="N313" s="37"/>
      <c r="P313" s="198"/>
    </row>
    <row r="314" spans="1:16" ht="27.75" hidden="1" customHeight="1" x14ac:dyDescent="0.25">
      <c r="A314" s="725" t="s">
        <v>431</v>
      </c>
      <c r="B314" s="771" t="s">
        <v>432</v>
      </c>
      <c r="C314" s="320"/>
      <c r="D314" s="321"/>
      <c r="E314" s="320"/>
      <c r="F314" s="734"/>
      <c r="G314" s="138"/>
      <c r="H314" s="322"/>
      <c r="I314" s="795"/>
      <c r="J314" s="796" t="str">
        <f t="shared" si="51"/>
        <v/>
      </c>
      <c r="K314" s="797">
        <f t="shared" si="59"/>
        <v>0</v>
      </c>
      <c r="L314" s="798">
        <f t="shared" si="60"/>
        <v>0</v>
      </c>
      <c r="M314" s="799" t="str">
        <f t="shared" si="62"/>
        <v/>
      </c>
      <c r="N314" s="37"/>
      <c r="P314" s="198"/>
    </row>
    <row r="315" spans="1:16" ht="11.25" hidden="1" customHeight="1" x14ac:dyDescent="0.25">
      <c r="A315" s="82" t="s">
        <v>418</v>
      </c>
      <c r="B315" s="278" t="s">
        <v>419</v>
      </c>
      <c r="C315" s="70"/>
      <c r="D315" s="201"/>
      <c r="E315" s="70"/>
      <c r="F315" s="125" t="str">
        <f t="shared" si="61"/>
        <v/>
      </c>
      <c r="G315" s="138" t="str">
        <f t="shared" si="57"/>
        <v/>
      </c>
      <c r="H315" s="35"/>
      <c r="I315" s="35">
        <v>0</v>
      </c>
      <c r="J315" s="319" t="str">
        <f t="shared" si="51"/>
        <v/>
      </c>
      <c r="K315" s="125">
        <f t="shared" si="59"/>
        <v>0</v>
      </c>
      <c r="L315" s="124">
        <f t="shared" si="60"/>
        <v>0</v>
      </c>
      <c r="M315" s="124" t="str">
        <f t="shared" si="62"/>
        <v/>
      </c>
      <c r="N315" s="37"/>
      <c r="P315" s="198"/>
    </row>
    <row r="316" spans="1:16" ht="27" hidden="1" customHeight="1" x14ac:dyDescent="0.25">
      <c r="A316" s="633" t="s">
        <v>433</v>
      </c>
      <c r="B316" s="669" t="s">
        <v>434</v>
      </c>
      <c r="C316" s="123"/>
      <c r="D316" s="134"/>
      <c r="E316" s="123"/>
      <c r="F316" s="566" t="str">
        <f t="shared" si="61"/>
        <v/>
      </c>
      <c r="G316" s="183" t="str">
        <f t="shared" si="57"/>
        <v/>
      </c>
      <c r="H316" s="213"/>
      <c r="I316" s="213"/>
      <c r="J316" s="677" t="str">
        <f t="shared" si="51"/>
        <v/>
      </c>
      <c r="K316" s="213">
        <f t="shared" si="59"/>
        <v>0</v>
      </c>
      <c r="L316" s="678">
        <f t="shared" si="60"/>
        <v>0</v>
      </c>
      <c r="M316" s="661" t="str">
        <f t="shared" si="62"/>
        <v/>
      </c>
      <c r="N316" s="37"/>
      <c r="P316" s="198"/>
    </row>
    <row r="317" spans="1:16" ht="21" customHeight="1" x14ac:dyDescent="0.25">
      <c r="A317" s="28" t="s">
        <v>435</v>
      </c>
      <c r="B317" s="300" t="s">
        <v>436</v>
      </c>
      <c r="C317" s="318">
        <f>C318+C321+C319+C322+C320</f>
        <v>348575.23491</v>
      </c>
      <c r="D317" s="603">
        <f>D318+D321+D319+D322+D320</f>
        <v>275969.95545000001</v>
      </c>
      <c r="E317" s="318">
        <f>E318+E321+E319+E322+E320</f>
        <v>292241.14620000002</v>
      </c>
      <c r="F317" s="25">
        <f t="shared" si="61"/>
        <v>0.8383875758570597</v>
      </c>
      <c r="G317" s="580">
        <f t="shared" si="57"/>
        <v>1.0589600078873369</v>
      </c>
      <c r="H317" s="318">
        <f>H318+H321+H319+H322+H320</f>
        <v>181944.32623999999</v>
      </c>
      <c r="I317" s="318">
        <f>I318+I321+I319+I322+I320</f>
        <v>105027.106</v>
      </c>
      <c r="J317" s="25">
        <f t="shared" ref="J317:J381" si="63">IFERROR(I317/H317,"")</f>
        <v>0.57724859120619321</v>
      </c>
      <c r="K317" s="23">
        <f t="shared" si="59"/>
        <v>530519.56114999996</v>
      </c>
      <c r="L317" s="23">
        <f>E317+I317</f>
        <v>397268.25219999999</v>
      </c>
      <c r="M317" s="25">
        <f t="shared" si="62"/>
        <v>0.7488286602266786</v>
      </c>
      <c r="N317" s="37"/>
      <c r="O317" s="301"/>
      <c r="P317" s="198"/>
    </row>
    <row r="318" spans="1:16" ht="13.8" x14ac:dyDescent="0.25">
      <c r="A318" s="41" t="s">
        <v>437</v>
      </c>
      <c r="B318" s="283" t="s">
        <v>438</v>
      </c>
      <c r="C318" s="34">
        <v>124324.12279000002</v>
      </c>
      <c r="D318" s="80">
        <v>94772.73335000001</v>
      </c>
      <c r="E318" s="34">
        <v>106973.09979000001</v>
      </c>
      <c r="F318" s="19">
        <f t="shared" si="61"/>
        <v>0.86043719745919145</v>
      </c>
      <c r="G318" s="583">
        <f t="shared" si="57"/>
        <v>1.1287328750448031</v>
      </c>
      <c r="H318" s="35"/>
      <c r="I318" s="35"/>
      <c r="J318" s="305" t="str">
        <f t="shared" si="63"/>
        <v/>
      </c>
      <c r="K318" s="35">
        <f t="shared" si="59"/>
        <v>124324.12279000002</v>
      </c>
      <c r="L318" s="34">
        <f t="shared" si="60"/>
        <v>106973.09979000001</v>
      </c>
      <c r="M318" s="115">
        <f t="shared" si="62"/>
        <v>0.86043719745919145</v>
      </c>
      <c r="N318" s="37"/>
      <c r="P318" s="198"/>
    </row>
    <row r="319" spans="1:16" ht="15.75" hidden="1" customHeight="1" x14ac:dyDescent="0.25">
      <c r="A319" s="743" t="s">
        <v>439</v>
      </c>
      <c r="B319" s="779" t="s">
        <v>440</v>
      </c>
      <c r="C319" s="324">
        <v>0</v>
      </c>
      <c r="D319" s="324">
        <v>0</v>
      </c>
      <c r="E319" s="324"/>
      <c r="F319" s="728" t="str">
        <f t="shared" si="61"/>
        <v/>
      </c>
      <c r="G319" s="61" t="str">
        <f t="shared" si="57"/>
        <v/>
      </c>
      <c r="H319" s="150"/>
      <c r="I319" s="150"/>
      <c r="J319" s="800" t="str">
        <f t="shared" si="63"/>
        <v/>
      </c>
      <c r="K319" s="223"/>
      <c r="L319" s="729"/>
      <c r="M319" s="727" t="str">
        <f t="shared" si="62"/>
        <v/>
      </c>
      <c r="N319" s="37"/>
      <c r="P319" s="198"/>
    </row>
    <row r="320" spans="1:16" ht="13.8" x14ac:dyDescent="0.25">
      <c r="A320" s="874" t="s">
        <v>439</v>
      </c>
      <c r="B320" s="283" t="s">
        <v>440</v>
      </c>
      <c r="C320" s="34"/>
      <c r="D320" s="80">
        <v>0</v>
      </c>
      <c r="E320" s="34">
        <v>0</v>
      </c>
      <c r="F320" s="19" t="str">
        <f t="shared" si="61"/>
        <v/>
      </c>
      <c r="G320" s="583" t="str">
        <f t="shared" si="57"/>
        <v/>
      </c>
      <c r="H320" s="35">
        <v>1500</v>
      </c>
      <c r="I320" s="35"/>
      <c r="J320" s="305">
        <f t="shared" si="63"/>
        <v>0</v>
      </c>
      <c r="K320" s="35"/>
      <c r="L320" s="34"/>
      <c r="M320" s="115" t="str">
        <f t="shared" si="62"/>
        <v/>
      </c>
      <c r="N320" s="37"/>
      <c r="P320" s="198"/>
    </row>
    <row r="321" spans="1:20" ht="26.4" x14ac:dyDescent="0.25">
      <c r="A321" s="41" t="s">
        <v>441</v>
      </c>
      <c r="B321" s="283" t="s">
        <v>442</v>
      </c>
      <c r="C321" s="34">
        <v>224251.11212000001</v>
      </c>
      <c r="D321" s="80">
        <v>181197.22210000001</v>
      </c>
      <c r="E321" s="34">
        <v>185268.04641000001</v>
      </c>
      <c r="F321" s="19">
        <f t="shared" si="61"/>
        <v>0.82616333385611218</v>
      </c>
      <c r="G321" s="583">
        <f t="shared" si="57"/>
        <v>1.0224662622463019</v>
      </c>
      <c r="H321" s="35">
        <v>180444.32623999999</v>
      </c>
      <c r="I321" s="35">
        <v>105027.106</v>
      </c>
      <c r="J321" s="115">
        <f t="shared" si="63"/>
        <v>0.58204715098832582</v>
      </c>
      <c r="K321" s="35">
        <f t="shared" si="59"/>
        <v>404695.43836000003</v>
      </c>
      <c r="L321" s="34">
        <f t="shared" si="60"/>
        <v>290295.15240999998</v>
      </c>
      <c r="M321" s="115">
        <f t="shared" si="62"/>
        <v>0.71731757982348598</v>
      </c>
      <c r="N321" s="37"/>
      <c r="P321" s="198"/>
    </row>
    <row r="322" spans="1:20" ht="21.75" hidden="1" customHeight="1" x14ac:dyDescent="0.25">
      <c r="A322" s="743" t="s">
        <v>443</v>
      </c>
      <c r="B322" s="779" t="s">
        <v>444</v>
      </c>
      <c r="C322" s="326"/>
      <c r="D322" s="327"/>
      <c r="E322" s="328"/>
      <c r="F322" s="801" t="str">
        <f t="shared" si="61"/>
        <v/>
      </c>
      <c r="G322" s="138" t="str">
        <f t="shared" si="57"/>
        <v/>
      </c>
      <c r="H322" s="802">
        <v>0</v>
      </c>
      <c r="I322" s="802">
        <v>0</v>
      </c>
      <c r="J322" s="803" t="str">
        <f t="shared" si="63"/>
        <v/>
      </c>
      <c r="K322" s="804">
        <f t="shared" si="59"/>
        <v>0</v>
      </c>
      <c r="L322" s="803">
        <f t="shared" si="60"/>
        <v>0</v>
      </c>
      <c r="M322" s="803" t="str">
        <f t="shared" si="62"/>
        <v/>
      </c>
      <c r="N322" s="37"/>
      <c r="P322" s="198"/>
    </row>
    <row r="323" spans="1:20" ht="21" customHeight="1" x14ac:dyDescent="0.25">
      <c r="A323" s="41" t="s">
        <v>445</v>
      </c>
      <c r="B323" s="283" t="s">
        <v>446</v>
      </c>
      <c r="C323" s="34">
        <v>3397.1</v>
      </c>
      <c r="D323" s="80">
        <v>2682.5</v>
      </c>
      <c r="E323" s="34">
        <v>2232.58752</v>
      </c>
      <c r="F323" s="19">
        <f t="shared" si="61"/>
        <v>0.65720394454093201</v>
      </c>
      <c r="G323" s="583">
        <f t="shared" si="57"/>
        <v>0.83227866542404472</v>
      </c>
      <c r="H323" s="35"/>
      <c r="I323" s="35"/>
      <c r="J323" s="115" t="str">
        <f t="shared" si="63"/>
        <v/>
      </c>
      <c r="K323" s="35">
        <f t="shared" si="59"/>
        <v>3397.1</v>
      </c>
      <c r="L323" s="34">
        <f t="shared" si="60"/>
        <v>2232.58752</v>
      </c>
      <c r="M323" s="115">
        <f t="shared" si="62"/>
        <v>0.65720394454093201</v>
      </c>
      <c r="N323" s="37"/>
      <c r="P323" s="198"/>
    </row>
    <row r="324" spans="1:20" ht="18.75" customHeight="1" x14ac:dyDescent="0.25">
      <c r="A324" s="28" t="s">
        <v>447</v>
      </c>
      <c r="B324" s="300" t="s">
        <v>448</v>
      </c>
      <c r="C324" s="318">
        <f>C327+C325+C331+C332+C328+C330+C326</f>
        <v>5571.2622000000001</v>
      </c>
      <c r="D324" s="603">
        <f>SUBTOTAL(9,D325:D332)</f>
        <v>5571.2622000000001</v>
      </c>
      <c r="E324" s="318">
        <f>E327+E325+E331+E332+E328+E330+E326</f>
        <v>2560.1271999999999</v>
      </c>
      <c r="F324" s="25">
        <f t="shared" si="61"/>
        <v>0.45952373234201754</v>
      </c>
      <c r="G324" s="580">
        <f t="shared" si="57"/>
        <v>0.45952373234201754</v>
      </c>
      <c r="H324" s="318">
        <f>H327+H325+H331+H332+H328+H330+H329+H326</f>
        <v>133976.06121999997</v>
      </c>
      <c r="I324" s="318">
        <f>I327+I325+I331+I332+I328+I330+I329+I326</f>
        <v>121905.11792</v>
      </c>
      <c r="J324" s="25">
        <f t="shared" si="63"/>
        <v>0.90990223783203728</v>
      </c>
      <c r="K324" s="23">
        <f>SUM(H324,C324)+0.01</f>
        <v>139547.33341999998</v>
      </c>
      <c r="L324" s="23">
        <f>E324+I324+0.05</f>
        <v>124465.29512000001</v>
      </c>
      <c r="M324" s="25">
        <f t="shared" si="62"/>
        <v>0.89192170190305908</v>
      </c>
      <c r="N324" s="37"/>
      <c r="P324" s="198"/>
    </row>
    <row r="325" spans="1:20" ht="18.75" customHeight="1" x14ac:dyDescent="0.25">
      <c r="A325" s="77" t="s">
        <v>449</v>
      </c>
      <c r="B325" s="294" t="s">
        <v>450</v>
      </c>
      <c r="C325" s="34">
        <v>5020.91</v>
      </c>
      <c r="D325" s="80">
        <v>5020.91</v>
      </c>
      <c r="E325" s="34">
        <v>2150</v>
      </c>
      <c r="F325" s="19">
        <f t="shared" si="61"/>
        <v>0.42820922900430403</v>
      </c>
      <c r="G325" s="583">
        <f t="shared" si="57"/>
        <v>0.42820922900430403</v>
      </c>
      <c r="H325" s="128">
        <v>499.5</v>
      </c>
      <c r="I325" s="128">
        <v>0</v>
      </c>
      <c r="J325" s="305">
        <f t="shared" si="63"/>
        <v>0</v>
      </c>
      <c r="K325" s="35">
        <f t="shared" si="59"/>
        <v>5520.41</v>
      </c>
      <c r="L325" s="34">
        <f t="shared" si="60"/>
        <v>2150</v>
      </c>
      <c r="M325" s="115">
        <f t="shared" si="62"/>
        <v>0.38946382605639801</v>
      </c>
      <c r="N325" s="37"/>
      <c r="P325" s="198"/>
    </row>
    <row r="326" spans="1:20" ht="18.75" hidden="1" customHeight="1" x14ac:dyDescent="0.25">
      <c r="A326" s="780" t="s">
        <v>451</v>
      </c>
      <c r="B326" s="781" t="s">
        <v>452</v>
      </c>
      <c r="C326" s="109"/>
      <c r="D326" s="150">
        <v>0</v>
      </c>
      <c r="E326" s="109">
        <v>0</v>
      </c>
      <c r="F326" s="650" t="str">
        <f t="shared" si="61"/>
        <v/>
      </c>
      <c r="G326" s="61" t="str">
        <f t="shared" si="57"/>
        <v/>
      </c>
      <c r="H326" s="112">
        <v>0</v>
      </c>
      <c r="I326" s="112">
        <v>0</v>
      </c>
      <c r="J326" s="805" t="str">
        <f t="shared" si="63"/>
        <v/>
      </c>
      <c r="K326" s="223">
        <f t="shared" si="59"/>
        <v>0</v>
      </c>
      <c r="L326" s="729">
        <f t="shared" si="60"/>
        <v>0</v>
      </c>
      <c r="M326" s="727" t="str">
        <f t="shared" si="62"/>
        <v/>
      </c>
      <c r="N326" s="37"/>
      <c r="P326" s="198"/>
    </row>
    <row r="327" spans="1:20" ht="18" customHeight="1" x14ac:dyDescent="0.25">
      <c r="A327" s="77" t="s">
        <v>453</v>
      </c>
      <c r="B327" s="294" t="s">
        <v>454</v>
      </c>
      <c r="C327" s="34">
        <v>179.65219999999999</v>
      </c>
      <c r="D327" s="80">
        <v>179.65220000000002</v>
      </c>
      <c r="E327" s="34">
        <v>39.427199999999999</v>
      </c>
      <c r="F327" s="19">
        <f t="shared" si="61"/>
        <v>0.21946405332080543</v>
      </c>
      <c r="G327" s="583">
        <f t="shared" si="57"/>
        <v>0.2194640533208054</v>
      </c>
      <c r="H327" s="35">
        <v>0</v>
      </c>
      <c r="I327" s="35">
        <v>0</v>
      </c>
      <c r="J327" s="305" t="str">
        <f t="shared" si="63"/>
        <v/>
      </c>
      <c r="K327" s="35">
        <f t="shared" si="59"/>
        <v>179.65219999999999</v>
      </c>
      <c r="L327" s="34">
        <f t="shared" si="60"/>
        <v>39.427199999999999</v>
      </c>
      <c r="M327" s="115">
        <f t="shared" si="62"/>
        <v>0.21946405332080543</v>
      </c>
      <c r="N327" s="37"/>
      <c r="P327" s="198"/>
    </row>
    <row r="328" spans="1:20" s="187" customFormat="1" ht="26.4" x14ac:dyDescent="0.25">
      <c r="A328" s="77" t="s">
        <v>455</v>
      </c>
      <c r="B328" s="294" t="s">
        <v>456</v>
      </c>
      <c r="C328" s="35">
        <v>0</v>
      </c>
      <c r="D328" s="80"/>
      <c r="E328" s="35">
        <v>0</v>
      </c>
      <c r="F328" s="19" t="str">
        <f t="shared" si="61"/>
        <v/>
      </c>
      <c r="G328" s="583" t="str">
        <f t="shared" si="57"/>
        <v/>
      </c>
      <c r="H328" s="35">
        <v>90</v>
      </c>
      <c r="I328" s="35">
        <v>1.26</v>
      </c>
      <c r="J328" s="115">
        <f t="shared" si="63"/>
        <v>1.4E-2</v>
      </c>
      <c r="K328" s="35">
        <f t="shared" si="59"/>
        <v>90</v>
      </c>
      <c r="L328" s="34">
        <f t="shared" si="60"/>
        <v>1.26</v>
      </c>
      <c r="M328" s="115">
        <f t="shared" si="62"/>
        <v>1.4E-2</v>
      </c>
      <c r="N328" s="37"/>
      <c r="P328" s="329"/>
      <c r="Q328" s="8"/>
      <c r="R328" s="8"/>
      <c r="S328" s="8"/>
      <c r="T328" s="8"/>
    </row>
    <row r="329" spans="1:20" s="187" customFormat="1" ht="43.8" customHeight="1" x14ac:dyDescent="0.25">
      <c r="A329" s="77" t="s">
        <v>457</v>
      </c>
      <c r="B329" s="294" t="s">
        <v>458</v>
      </c>
      <c r="C329" s="35"/>
      <c r="D329" s="80"/>
      <c r="E329" s="35"/>
      <c r="F329" s="19" t="str">
        <f t="shared" si="61"/>
        <v/>
      </c>
      <c r="G329" s="583" t="str">
        <f t="shared" si="57"/>
        <v/>
      </c>
      <c r="H329" s="303">
        <v>1490</v>
      </c>
      <c r="I329" s="303">
        <v>692.23</v>
      </c>
      <c r="J329" s="115">
        <f t="shared" si="63"/>
        <v>0.4645838926174497</v>
      </c>
      <c r="K329" s="35">
        <f t="shared" si="59"/>
        <v>1490</v>
      </c>
      <c r="L329" s="34">
        <f t="shared" si="60"/>
        <v>692.23</v>
      </c>
      <c r="M329" s="115">
        <f t="shared" si="62"/>
        <v>0.4645838926174497</v>
      </c>
      <c r="N329" s="37"/>
      <c r="P329" s="329"/>
      <c r="Q329" s="8"/>
      <c r="R329" s="8"/>
      <c r="S329" s="8"/>
      <c r="T329" s="8"/>
    </row>
    <row r="330" spans="1:20" s="330" customFormat="1" ht="24.75" customHeight="1" x14ac:dyDescent="0.25">
      <c r="A330" s="77" t="s">
        <v>459</v>
      </c>
      <c r="B330" s="294" t="s">
        <v>460</v>
      </c>
      <c r="C330" s="35">
        <v>0</v>
      </c>
      <c r="D330" s="80"/>
      <c r="E330" s="35">
        <v>0</v>
      </c>
      <c r="F330" s="19" t="str">
        <f t="shared" si="61"/>
        <v/>
      </c>
      <c r="G330" s="583" t="str">
        <f t="shared" si="57"/>
        <v/>
      </c>
      <c r="H330" s="35">
        <v>130796.56121999999</v>
      </c>
      <c r="I330" s="35">
        <v>120946.97792</v>
      </c>
      <c r="J330" s="115">
        <f t="shared" si="63"/>
        <v>0.92469539559657865</v>
      </c>
      <c r="K330" s="35">
        <f t="shared" si="59"/>
        <v>130796.56121999999</v>
      </c>
      <c r="L330" s="34">
        <f t="shared" si="60"/>
        <v>120946.97792</v>
      </c>
      <c r="M330" s="115">
        <f t="shared" si="62"/>
        <v>0.92469539559657865</v>
      </c>
      <c r="N330" s="37"/>
      <c r="P330" s="331"/>
      <c r="Q330" s="8"/>
      <c r="R330" s="8"/>
      <c r="S330" s="8"/>
      <c r="T330" s="8"/>
    </row>
    <row r="331" spans="1:20" ht="18.75" customHeight="1" x14ac:dyDescent="0.25">
      <c r="A331" s="77" t="s">
        <v>461</v>
      </c>
      <c r="B331" s="294" t="s">
        <v>462</v>
      </c>
      <c r="C331" s="34">
        <v>370.7</v>
      </c>
      <c r="D331" s="80">
        <v>370.7</v>
      </c>
      <c r="E331" s="34">
        <v>370.7</v>
      </c>
      <c r="F331" s="19">
        <f t="shared" si="61"/>
        <v>1</v>
      </c>
      <c r="G331" s="583">
        <f t="shared" si="57"/>
        <v>1</v>
      </c>
      <c r="H331" s="35"/>
      <c r="I331" s="35"/>
      <c r="J331" s="115" t="str">
        <f t="shared" si="63"/>
        <v/>
      </c>
      <c r="K331" s="35">
        <f t="shared" si="59"/>
        <v>370.7</v>
      </c>
      <c r="L331" s="34">
        <f t="shared" si="60"/>
        <v>370.7</v>
      </c>
      <c r="M331" s="115">
        <f t="shared" si="62"/>
        <v>1</v>
      </c>
      <c r="N331" s="37"/>
      <c r="P331" s="198"/>
    </row>
    <row r="332" spans="1:20" ht="72.75" customHeight="1" x14ac:dyDescent="0.25">
      <c r="A332" s="77" t="s">
        <v>463</v>
      </c>
      <c r="B332" s="294" t="s">
        <v>464</v>
      </c>
      <c r="C332" s="35">
        <v>0</v>
      </c>
      <c r="D332" s="80"/>
      <c r="E332" s="35">
        <v>0</v>
      </c>
      <c r="F332" s="19" t="str">
        <f t="shared" si="61"/>
        <v/>
      </c>
      <c r="G332" s="583" t="str">
        <f t="shared" si="57"/>
        <v/>
      </c>
      <c r="H332" s="35">
        <v>1100</v>
      </c>
      <c r="I332" s="35">
        <v>264.64999999999998</v>
      </c>
      <c r="J332" s="115">
        <f t="shared" si="63"/>
        <v>0.24059090909090908</v>
      </c>
      <c r="K332" s="35">
        <f t="shared" si="59"/>
        <v>1100</v>
      </c>
      <c r="L332" s="34">
        <f t="shared" si="60"/>
        <v>264.64999999999998</v>
      </c>
      <c r="M332" s="115">
        <f t="shared" si="62"/>
        <v>0.24059090909090908</v>
      </c>
      <c r="N332" s="37"/>
      <c r="P332" s="198"/>
    </row>
    <row r="333" spans="1:20" ht="13.8" x14ac:dyDescent="0.25">
      <c r="A333" s="77" t="s">
        <v>465</v>
      </c>
      <c r="B333" s="294" t="s">
        <v>466</v>
      </c>
      <c r="C333" s="117">
        <v>28084.486000000001</v>
      </c>
      <c r="D333" s="600"/>
      <c r="E333" s="117">
        <v>17159.008570000002</v>
      </c>
      <c r="F333" s="19">
        <f t="shared" si="61"/>
        <v>0.61097819522137597</v>
      </c>
      <c r="G333" s="583" t="str">
        <f t="shared" si="57"/>
        <v/>
      </c>
      <c r="H333" s="117">
        <v>62535.248249999997</v>
      </c>
      <c r="I333" s="117">
        <v>48060.609409999997</v>
      </c>
      <c r="J333" s="305">
        <f t="shared" si="63"/>
        <v>0.7685363175958928</v>
      </c>
      <c r="K333" s="35">
        <f t="shared" si="59"/>
        <v>90619.734249999994</v>
      </c>
      <c r="L333" s="34">
        <f t="shared" si="60"/>
        <v>65219.617979999995</v>
      </c>
      <c r="M333" s="19">
        <f t="shared" si="62"/>
        <v>0.7197065685502162</v>
      </c>
      <c r="N333" s="37"/>
      <c r="P333" s="198"/>
    </row>
    <row r="334" spans="1:20" ht="27" customHeight="1" x14ac:dyDescent="0.25">
      <c r="A334" s="28" t="s">
        <v>467</v>
      </c>
      <c r="B334" s="300" t="s">
        <v>468</v>
      </c>
      <c r="C334" s="128">
        <f>C335+C336</f>
        <v>9571.4239999999991</v>
      </c>
      <c r="D334" s="582">
        <f>D335+D336</f>
        <v>8326.3580000000002</v>
      </c>
      <c r="E334" s="128">
        <f>E335+E336</f>
        <v>4250.3987699999998</v>
      </c>
      <c r="F334" s="31">
        <f t="shared" si="61"/>
        <v>0.44407172537754053</v>
      </c>
      <c r="G334" s="580">
        <f t="shared" si="57"/>
        <v>0.5104751405116138</v>
      </c>
      <c r="H334" s="128">
        <f>H335+H336</f>
        <v>1774.9251100000001</v>
      </c>
      <c r="I334" s="128">
        <f>I335+I336</f>
        <v>669.9251099999999</v>
      </c>
      <c r="J334" s="31">
        <f t="shared" si="63"/>
        <v>0.37743852189910132</v>
      </c>
      <c r="K334" s="30">
        <f t="shared" si="59"/>
        <v>11346.349109999999</v>
      </c>
      <c r="L334" s="30">
        <f t="shared" si="60"/>
        <v>4920.3238799999999</v>
      </c>
      <c r="M334" s="31">
        <f t="shared" si="62"/>
        <v>0.43364820104675944</v>
      </c>
      <c r="N334" s="37"/>
      <c r="O334" s="308"/>
      <c r="P334" s="308"/>
    </row>
    <row r="335" spans="1:20" ht="25.5" customHeight="1" x14ac:dyDescent="0.25">
      <c r="A335" s="77" t="s">
        <v>469</v>
      </c>
      <c r="B335" s="294" t="s">
        <v>470</v>
      </c>
      <c r="C335" s="34">
        <v>4235</v>
      </c>
      <c r="D335" s="80">
        <v>4083</v>
      </c>
      <c r="E335" s="34">
        <v>0</v>
      </c>
      <c r="F335" s="19">
        <f t="shared" si="61"/>
        <v>0</v>
      </c>
      <c r="G335" s="583">
        <f t="shared" si="57"/>
        <v>0</v>
      </c>
      <c r="H335" s="117">
        <v>1734.0481100000002</v>
      </c>
      <c r="I335" s="117">
        <v>629.04810999999995</v>
      </c>
      <c r="J335" s="305">
        <f t="shared" si="63"/>
        <v>0.36276277824840736</v>
      </c>
      <c r="K335" s="35">
        <f t="shared" si="59"/>
        <v>5969.0481099999997</v>
      </c>
      <c r="L335" s="34">
        <f t="shared" si="60"/>
        <v>629.04810999999995</v>
      </c>
      <c r="M335" s="115">
        <f t="shared" si="62"/>
        <v>0.10538499579960664</v>
      </c>
      <c r="N335" s="37"/>
      <c r="P335" s="198"/>
    </row>
    <row r="336" spans="1:20" ht="15" customHeight="1" x14ac:dyDescent="0.25">
      <c r="A336" s="77" t="s">
        <v>471</v>
      </c>
      <c r="B336" s="294" t="s">
        <v>472</v>
      </c>
      <c r="C336" s="34">
        <v>5336.424</v>
      </c>
      <c r="D336" s="80">
        <v>4243.3580000000002</v>
      </c>
      <c r="E336" s="34">
        <v>4250.3987699999998</v>
      </c>
      <c r="F336" s="19">
        <f t="shared" si="61"/>
        <v>0.79648820446051505</v>
      </c>
      <c r="G336" s="583">
        <f t="shared" si="57"/>
        <v>1.0016592448716322</v>
      </c>
      <c r="H336" s="117">
        <v>40.877000000000002</v>
      </c>
      <c r="I336" s="117">
        <v>40.877000000000002</v>
      </c>
      <c r="J336" s="305">
        <f t="shared" si="63"/>
        <v>1</v>
      </c>
      <c r="K336" s="35">
        <f t="shared" si="59"/>
        <v>5377.3010000000004</v>
      </c>
      <c r="L336" s="34">
        <f t="shared" si="60"/>
        <v>4291.2757700000002</v>
      </c>
      <c r="M336" s="115">
        <f t="shared" si="62"/>
        <v>0.79803525411726062</v>
      </c>
      <c r="N336" s="37"/>
      <c r="P336" s="198"/>
    </row>
    <row r="337" spans="1:16" ht="15" customHeight="1" x14ac:dyDescent="0.25">
      <c r="A337" s="28" t="s">
        <v>473</v>
      </c>
      <c r="B337" s="300" t="s">
        <v>474</v>
      </c>
      <c r="C337" s="128">
        <f>C338+C339</f>
        <v>3460.5909999999999</v>
      </c>
      <c r="D337" s="582">
        <f>D338+D339</f>
        <v>3197.5410000000002</v>
      </c>
      <c r="E337" s="128">
        <f>E338+E339</f>
        <v>2858.0568399999997</v>
      </c>
      <c r="F337" s="31">
        <f t="shared" si="61"/>
        <v>0.82588691931522673</v>
      </c>
      <c r="G337" s="580">
        <f t="shared" si="57"/>
        <v>0.8938296146945417</v>
      </c>
      <c r="H337" s="128">
        <f>H338+H339</f>
        <v>40360.32314</v>
      </c>
      <c r="I337" s="128">
        <f>I338+I339</f>
        <v>39360.32314</v>
      </c>
      <c r="J337" s="25">
        <f t="shared" si="63"/>
        <v>0.97522319143651925</v>
      </c>
      <c r="K337" s="30">
        <f t="shared" si="59"/>
        <v>43820.914140000001</v>
      </c>
      <c r="L337" s="30">
        <f t="shared" si="60"/>
        <v>42218.379979999998</v>
      </c>
      <c r="M337" s="31">
        <f t="shared" si="62"/>
        <v>0.96342992401116523</v>
      </c>
      <c r="N337" s="37"/>
      <c r="P337" s="198"/>
    </row>
    <row r="338" spans="1:16" ht="15" customHeight="1" x14ac:dyDescent="0.25">
      <c r="A338" s="77" t="s">
        <v>475</v>
      </c>
      <c r="B338" s="294" t="s">
        <v>476</v>
      </c>
      <c r="C338" s="34">
        <v>3344.9409999999998</v>
      </c>
      <c r="D338" s="80">
        <v>3072.8110000000001</v>
      </c>
      <c r="E338" s="34">
        <v>2742.4068399999996</v>
      </c>
      <c r="F338" s="19">
        <f t="shared" si="61"/>
        <v>0.81986702904475739</v>
      </c>
      <c r="G338" s="583">
        <f t="shared" si="57"/>
        <v>0.89247494883349465</v>
      </c>
      <c r="H338" s="117"/>
      <c r="I338" s="117"/>
      <c r="J338" s="305" t="str">
        <f t="shared" si="63"/>
        <v/>
      </c>
      <c r="K338" s="35">
        <f t="shared" si="59"/>
        <v>3344.9409999999998</v>
      </c>
      <c r="L338" s="34">
        <f t="shared" si="60"/>
        <v>2742.4068399999996</v>
      </c>
      <c r="M338" s="115">
        <f t="shared" si="62"/>
        <v>0.81986702904475739</v>
      </c>
      <c r="N338" s="37"/>
      <c r="P338" s="198"/>
    </row>
    <row r="339" spans="1:16" ht="18" customHeight="1" x14ac:dyDescent="0.25">
      <c r="A339" s="77" t="s">
        <v>477</v>
      </c>
      <c r="B339" s="294" t="s">
        <v>478</v>
      </c>
      <c r="C339" s="34">
        <v>115.65</v>
      </c>
      <c r="D339" s="80">
        <v>124.73</v>
      </c>
      <c r="E339" s="34">
        <v>115.65</v>
      </c>
      <c r="F339" s="19">
        <f t="shared" si="61"/>
        <v>1</v>
      </c>
      <c r="G339" s="583">
        <f t="shared" si="57"/>
        <v>0.92720275795718754</v>
      </c>
      <c r="H339" s="117">
        <v>40360.32314</v>
      </c>
      <c r="I339" s="117">
        <v>39360.32314</v>
      </c>
      <c r="J339" s="305">
        <f t="shared" si="63"/>
        <v>0.97522319143651925</v>
      </c>
      <c r="K339" s="35">
        <f t="shared" si="59"/>
        <v>40475.973140000002</v>
      </c>
      <c r="L339" s="34">
        <f t="shared" si="60"/>
        <v>39475.973140000002</v>
      </c>
      <c r="M339" s="115">
        <f t="shared" si="62"/>
        <v>0.97529398498854725</v>
      </c>
      <c r="N339" s="37"/>
      <c r="P339" s="198"/>
    </row>
    <row r="340" spans="1:16" ht="16.5" customHeight="1" x14ac:dyDescent="0.25">
      <c r="A340" s="28" t="s">
        <v>479</v>
      </c>
      <c r="B340" s="300" t="s">
        <v>480</v>
      </c>
      <c r="C340" s="128">
        <f>C344+C341+C343+C342</f>
        <v>12797.062</v>
      </c>
      <c r="D340" s="604">
        <f>D344+D341+D343+D342</f>
        <v>8311.1329999999998</v>
      </c>
      <c r="E340" s="128">
        <f t="shared" ref="E340" si="64">E344+E341+E343+E342</f>
        <v>9735.0929600000018</v>
      </c>
      <c r="F340" s="31">
        <f t="shared" si="61"/>
        <v>0.76072874852055905</v>
      </c>
      <c r="G340" s="580">
        <f t="shared" si="57"/>
        <v>1.1713316295142915</v>
      </c>
      <c r="H340" s="128">
        <f>H344+H341+H343</f>
        <v>20400</v>
      </c>
      <c r="I340" s="128">
        <f>I344+I341+I343</f>
        <v>8030.3611600000004</v>
      </c>
      <c r="J340" s="31">
        <f t="shared" si="63"/>
        <v>0.39364515490196078</v>
      </c>
      <c r="K340" s="30">
        <f>SUM(H340,C340)</f>
        <v>33197.061999999998</v>
      </c>
      <c r="L340" s="563">
        <f t="shared" si="60"/>
        <v>17765.454120000002</v>
      </c>
      <c r="M340" s="31">
        <f t="shared" si="62"/>
        <v>0.5351513974339055</v>
      </c>
      <c r="N340" s="37"/>
      <c r="P340" s="198"/>
    </row>
    <row r="341" spans="1:16" ht="40.5" hidden="1" customHeight="1" x14ac:dyDescent="0.25">
      <c r="A341" s="780" t="s">
        <v>481</v>
      </c>
      <c r="B341" s="781" t="s">
        <v>482</v>
      </c>
      <c r="C341" s="806"/>
      <c r="D341" s="332"/>
      <c r="E341" s="807"/>
      <c r="F341" s="808" t="str">
        <f t="shared" si="61"/>
        <v/>
      </c>
      <c r="G341" s="138" t="str">
        <f t="shared" si="57"/>
        <v/>
      </c>
      <c r="H341" s="327">
        <v>1000</v>
      </c>
      <c r="I341" s="327"/>
      <c r="J341" s="803">
        <f t="shared" si="63"/>
        <v>0</v>
      </c>
      <c r="K341" s="804">
        <f t="shared" si="59"/>
        <v>1000</v>
      </c>
      <c r="L341" s="803">
        <f t="shared" si="60"/>
        <v>0</v>
      </c>
      <c r="M341" s="803">
        <f t="shared" si="62"/>
        <v>0</v>
      </c>
      <c r="N341" s="37"/>
      <c r="P341" s="198"/>
    </row>
    <row r="342" spans="1:16" ht="13.8" x14ac:dyDescent="0.25">
      <c r="A342" s="333" t="s">
        <v>483</v>
      </c>
      <c r="B342" s="302" t="s">
        <v>484</v>
      </c>
      <c r="C342" s="34">
        <v>12797.062</v>
      </c>
      <c r="D342" s="594">
        <v>8311.1329999999998</v>
      </c>
      <c r="E342" s="34">
        <v>9735.0929600000018</v>
      </c>
      <c r="F342" s="115">
        <f t="shared" si="61"/>
        <v>0.76072874852055905</v>
      </c>
      <c r="G342" s="581">
        <f t="shared" si="57"/>
        <v>1.1713316295142915</v>
      </c>
      <c r="H342" s="35">
        <v>1000</v>
      </c>
      <c r="I342" s="35"/>
      <c r="J342" s="115"/>
      <c r="K342" s="35">
        <f>SUM(H342,C342)</f>
        <v>13797.062</v>
      </c>
      <c r="L342" s="35">
        <f t="shared" si="60"/>
        <v>9735.0929600000018</v>
      </c>
      <c r="M342" s="19">
        <f t="shared" si="62"/>
        <v>0.70559173829906696</v>
      </c>
      <c r="N342" s="37"/>
      <c r="P342" s="198"/>
    </row>
    <row r="343" spans="1:16" ht="21" hidden="1" customHeight="1" x14ac:dyDescent="0.25">
      <c r="A343" s="780" t="s">
        <v>485</v>
      </c>
      <c r="B343" s="781" t="s">
        <v>486</v>
      </c>
      <c r="C343" s="334"/>
      <c r="D343" s="335"/>
      <c r="E343" s="334"/>
      <c r="F343" s="774" t="str">
        <f t="shared" si="61"/>
        <v/>
      </c>
      <c r="G343" s="179" t="str">
        <f t="shared" si="57"/>
        <v/>
      </c>
      <c r="H343" s="233"/>
      <c r="I343" s="233"/>
      <c r="J343" s="794" t="str">
        <f t="shared" si="63"/>
        <v/>
      </c>
      <c r="K343" s="774">
        <f>SUM(H343,C343)</f>
        <v>0</v>
      </c>
      <c r="L343" s="794">
        <f>E343+I343</f>
        <v>0</v>
      </c>
      <c r="M343" s="794" t="str">
        <f t="shared" si="62"/>
        <v/>
      </c>
      <c r="N343" s="37"/>
      <c r="P343" s="198"/>
    </row>
    <row r="344" spans="1:16" ht="15" customHeight="1" x14ac:dyDescent="0.25">
      <c r="A344" s="77" t="s">
        <v>487</v>
      </c>
      <c r="B344" s="294" t="s">
        <v>488</v>
      </c>
      <c r="C344" s="117">
        <v>0</v>
      </c>
      <c r="D344" s="586"/>
      <c r="E344" s="117"/>
      <c r="F344" s="19" t="str">
        <f t="shared" si="61"/>
        <v/>
      </c>
      <c r="G344" s="583" t="str">
        <f t="shared" si="57"/>
        <v/>
      </c>
      <c r="H344" s="303">
        <v>19400</v>
      </c>
      <c r="I344" s="303">
        <v>8030.3611600000004</v>
      </c>
      <c r="J344" s="115">
        <f t="shared" si="63"/>
        <v>0.41393614226804126</v>
      </c>
      <c r="K344" s="35">
        <f t="shared" si="59"/>
        <v>19400</v>
      </c>
      <c r="L344" s="34">
        <f t="shared" si="60"/>
        <v>8030.3611600000004</v>
      </c>
      <c r="M344" s="115">
        <f t="shared" si="62"/>
        <v>0.41393614226804126</v>
      </c>
      <c r="N344" s="37"/>
      <c r="P344" s="198"/>
    </row>
    <row r="345" spans="1:16" s="27" customFormat="1" ht="13.8" x14ac:dyDescent="0.25">
      <c r="A345" s="28" t="s">
        <v>489</v>
      </c>
      <c r="B345" s="300" t="s">
        <v>490</v>
      </c>
      <c r="C345" s="128">
        <f>C346+C347+C348</f>
        <v>907.46900000000005</v>
      </c>
      <c r="D345" s="582">
        <f>D346+D347+D348</f>
        <v>523.86699999999996</v>
      </c>
      <c r="E345" s="128">
        <f>E346+E347+E348</f>
        <v>315.45999999999998</v>
      </c>
      <c r="F345" s="31">
        <f t="shared" si="61"/>
        <v>0.34762619990324733</v>
      </c>
      <c r="G345" s="579">
        <f t="shared" si="57"/>
        <v>0.60217574307982746</v>
      </c>
      <c r="H345" s="128">
        <f>H346+H347+H348</f>
        <v>0</v>
      </c>
      <c r="I345" s="128">
        <f>I346+I347+I348</f>
        <v>0</v>
      </c>
      <c r="J345" s="115" t="str">
        <f t="shared" si="63"/>
        <v/>
      </c>
      <c r="K345" s="30">
        <f t="shared" si="59"/>
        <v>907.46900000000005</v>
      </c>
      <c r="L345" s="34">
        <f t="shared" si="60"/>
        <v>315.45999999999998</v>
      </c>
      <c r="M345" s="31">
        <f t="shared" si="62"/>
        <v>0.34762619990324733</v>
      </c>
      <c r="N345" s="26" t="e">
        <f>#N/A</f>
        <v>#N/A</v>
      </c>
      <c r="P345" s="198"/>
    </row>
    <row r="346" spans="1:16" ht="13.8" hidden="1" x14ac:dyDescent="0.25">
      <c r="A346" s="725" t="s">
        <v>491</v>
      </c>
      <c r="B346" s="771" t="s">
        <v>492</v>
      </c>
      <c r="C346" s="200">
        <v>0</v>
      </c>
      <c r="D346" s="200">
        <v>0</v>
      </c>
      <c r="E346" s="200">
        <v>0</v>
      </c>
      <c r="F346" s="737" t="str">
        <f t="shared" si="61"/>
        <v/>
      </c>
      <c r="G346" s="87" t="str">
        <f t="shared" si="57"/>
        <v/>
      </c>
      <c r="H346" s="200"/>
      <c r="I346" s="200"/>
      <c r="J346" s="496" t="str">
        <f t="shared" si="63"/>
        <v/>
      </c>
      <c r="K346" s="245" t="e">
        <f>#N/A</f>
        <v>#N/A</v>
      </c>
      <c r="L346" s="245" t="e">
        <f>#N/A</f>
        <v>#N/A</v>
      </c>
      <c r="M346" s="737" t="str">
        <f t="shared" si="62"/>
        <v/>
      </c>
      <c r="N346" s="37" t="e">
        <f>#N/A</f>
        <v>#N/A</v>
      </c>
    </row>
    <row r="347" spans="1:16" ht="22.5" hidden="1" customHeight="1" x14ac:dyDescent="0.25">
      <c r="A347" s="680" t="s">
        <v>493</v>
      </c>
      <c r="B347" s="670" t="s">
        <v>494</v>
      </c>
      <c r="C347" s="135">
        <v>0</v>
      </c>
      <c r="D347" s="135">
        <v>0</v>
      </c>
      <c r="E347" s="135">
        <v>0</v>
      </c>
      <c r="F347" s="625" t="str">
        <f t="shared" si="61"/>
        <v/>
      </c>
      <c r="G347" s="264" t="str">
        <f t="shared" si="57"/>
        <v/>
      </c>
      <c r="H347" s="135"/>
      <c r="I347" s="135"/>
      <c r="J347" s="625" t="str">
        <f t="shared" si="63"/>
        <v/>
      </c>
      <c r="K347" s="240" t="e">
        <f>#N/A</f>
        <v>#N/A</v>
      </c>
      <c r="L347" s="265" t="e">
        <f>#N/A</f>
        <v>#N/A</v>
      </c>
      <c r="M347" s="625" t="str">
        <f t="shared" si="62"/>
        <v/>
      </c>
      <c r="N347" s="37" t="e">
        <f>#N/A</f>
        <v>#N/A</v>
      </c>
    </row>
    <row r="348" spans="1:16" ht="13.8" x14ac:dyDescent="0.25">
      <c r="A348" s="41" t="s">
        <v>495</v>
      </c>
      <c r="B348" s="283" t="s">
        <v>496</v>
      </c>
      <c r="C348" s="35">
        <v>907.46900000000005</v>
      </c>
      <c r="D348" s="80">
        <v>523.86699999999996</v>
      </c>
      <c r="E348" s="35">
        <v>315.45999999999998</v>
      </c>
      <c r="F348" s="19">
        <f t="shared" si="61"/>
        <v>0.34762619990324733</v>
      </c>
      <c r="G348" s="583">
        <f t="shared" si="57"/>
        <v>0.60217574307982746</v>
      </c>
      <c r="H348" s="70"/>
      <c r="I348" s="70"/>
      <c r="J348" s="305" t="str">
        <f t="shared" si="63"/>
        <v/>
      </c>
      <c r="K348" s="35">
        <f>SUM(H348,C348)</f>
        <v>907.46900000000005</v>
      </c>
      <c r="L348" s="34">
        <f>E348+I348</f>
        <v>315.45999999999998</v>
      </c>
      <c r="M348" s="19">
        <f t="shared" si="62"/>
        <v>0.34762619990324733</v>
      </c>
      <c r="N348" s="37" t="e">
        <f>#N/A</f>
        <v>#N/A</v>
      </c>
      <c r="P348" s="198"/>
    </row>
    <row r="349" spans="1:16" s="27" customFormat="1" ht="17.25" hidden="1" customHeight="1" x14ac:dyDescent="0.25">
      <c r="A349" s="809" t="s">
        <v>497</v>
      </c>
      <c r="B349" s="810" t="s">
        <v>498</v>
      </c>
      <c r="C349" s="337">
        <f>SUM(C350)</f>
        <v>0</v>
      </c>
      <c r="D349" s="337"/>
      <c r="E349" s="337">
        <f>SUM(E350)</f>
        <v>0</v>
      </c>
      <c r="F349" s="741" t="str">
        <f t="shared" si="61"/>
        <v/>
      </c>
      <c r="G349" s="56" t="str">
        <f t="shared" si="57"/>
        <v/>
      </c>
      <c r="H349" s="337">
        <f>SUM(H350)</f>
        <v>0</v>
      </c>
      <c r="I349" s="337">
        <f>SUM(I350)</f>
        <v>0</v>
      </c>
      <c r="J349" s="504" t="str">
        <f t="shared" si="63"/>
        <v/>
      </c>
      <c r="K349" s="811" t="e">
        <f>#N/A</f>
        <v>#N/A</v>
      </c>
      <c r="L349" s="811" t="e">
        <f>#N/A</f>
        <v>#N/A</v>
      </c>
      <c r="M349" s="504" t="str">
        <f t="shared" si="62"/>
        <v/>
      </c>
      <c r="N349" s="26" t="e">
        <f>#N/A</f>
        <v>#N/A</v>
      </c>
    </row>
    <row r="350" spans="1:16" ht="15" hidden="1" customHeight="1" x14ac:dyDescent="0.25">
      <c r="A350" s="82" t="s">
        <v>499</v>
      </c>
      <c r="B350" s="278" t="s">
        <v>500</v>
      </c>
      <c r="C350" s="86">
        <f>SUM(C351)</f>
        <v>0</v>
      </c>
      <c r="D350" s="86"/>
      <c r="E350" s="86">
        <f>SUM(E351)</f>
        <v>0</v>
      </c>
      <c r="F350" s="63" t="str">
        <f t="shared" si="61"/>
        <v/>
      </c>
      <c r="G350" s="63" t="str">
        <f t="shared" si="57"/>
        <v/>
      </c>
      <c r="H350" s="86">
        <f>SUM(H351)</f>
        <v>0</v>
      </c>
      <c r="I350" s="86">
        <f>SUM(I351)</f>
        <v>0</v>
      </c>
      <c r="J350" s="63" t="str">
        <f t="shared" si="63"/>
        <v/>
      </c>
      <c r="K350" s="84" t="e">
        <f>#N/A</f>
        <v>#N/A</v>
      </c>
      <c r="L350" s="84" t="e">
        <f>#N/A</f>
        <v>#N/A</v>
      </c>
      <c r="M350" s="63" t="str">
        <f t="shared" si="62"/>
        <v/>
      </c>
      <c r="N350" s="37" t="e">
        <f>#N/A</f>
        <v>#N/A</v>
      </c>
    </row>
    <row r="351" spans="1:16" ht="31.5" hidden="1" customHeight="1" x14ac:dyDescent="0.25">
      <c r="A351" s="82" t="s">
        <v>501</v>
      </c>
      <c r="B351" s="339">
        <v>140102</v>
      </c>
      <c r="C351" s="340"/>
      <c r="D351" s="340"/>
      <c r="E351" s="340" t="s">
        <v>502</v>
      </c>
      <c r="F351" s="63" t="str">
        <f t="shared" si="61"/>
        <v/>
      </c>
      <c r="G351" s="63" t="str">
        <f t="shared" si="57"/>
        <v/>
      </c>
      <c r="H351" s="340"/>
      <c r="I351" s="340"/>
      <c r="J351" s="63" t="str">
        <f t="shared" si="63"/>
        <v/>
      </c>
      <c r="K351" s="84" t="e">
        <f>#N/A</f>
        <v>#N/A</v>
      </c>
      <c r="L351" s="84" t="e">
        <f>#N/A</f>
        <v>#N/A</v>
      </c>
      <c r="M351" s="63" t="str">
        <f t="shared" si="62"/>
        <v/>
      </c>
      <c r="N351" s="37" t="e">
        <f>#N/A</f>
        <v>#N/A</v>
      </c>
    </row>
    <row r="352" spans="1:16" ht="16.5" hidden="1" customHeight="1" x14ac:dyDescent="0.25">
      <c r="A352" s="82" t="s">
        <v>503</v>
      </c>
      <c r="B352" s="339">
        <v>150106</v>
      </c>
      <c r="C352" s="340"/>
      <c r="D352" s="340"/>
      <c r="E352" s="340"/>
      <c r="F352" s="63" t="str">
        <f t="shared" si="61"/>
        <v/>
      </c>
      <c r="G352" s="63" t="str">
        <f t="shared" si="57"/>
        <v/>
      </c>
      <c r="H352" s="340"/>
      <c r="I352" s="340"/>
      <c r="J352" s="63" t="str">
        <f t="shared" si="63"/>
        <v/>
      </c>
      <c r="K352" s="84" t="e">
        <f>#N/A</f>
        <v>#N/A</v>
      </c>
      <c r="L352" s="84" t="e">
        <f>#N/A</f>
        <v>#N/A</v>
      </c>
      <c r="M352" s="63" t="str">
        <f t="shared" si="62"/>
        <v/>
      </c>
      <c r="N352" s="37" t="e">
        <f>#N/A</f>
        <v>#N/A</v>
      </c>
    </row>
    <row r="353" spans="1:14" ht="17.25" hidden="1" customHeight="1" x14ac:dyDescent="0.25">
      <c r="A353" s="82" t="s">
        <v>504</v>
      </c>
      <c r="B353" s="339">
        <v>150107</v>
      </c>
      <c r="C353" s="341"/>
      <c r="D353" s="341"/>
      <c r="E353" s="342"/>
      <c r="F353" s="87" t="str">
        <f t="shared" si="61"/>
        <v/>
      </c>
      <c r="G353" s="148" t="str">
        <f t="shared" si="57"/>
        <v/>
      </c>
      <c r="H353" s="341"/>
      <c r="I353" s="341"/>
      <c r="J353" s="87" t="str">
        <f t="shared" si="63"/>
        <v/>
      </c>
      <c r="K353" s="64" t="e">
        <f>#N/A</f>
        <v>#N/A</v>
      </c>
      <c r="L353" s="64" t="e">
        <f>#N/A</f>
        <v>#N/A</v>
      </c>
      <c r="M353" s="87" t="str">
        <f t="shared" si="62"/>
        <v/>
      </c>
      <c r="N353" s="37" t="e">
        <f>#N/A</f>
        <v>#N/A</v>
      </c>
    </row>
    <row r="354" spans="1:14" ht="15" hidden="1" customHeight="1" x14ac:dyDescent="0.25">
      <c r="A354" s="82" t="s">
        <v>505</v>
      </c>
      <c r="B354" s="339">
        <v>150121</v>
      </c>
      <c r="C354" s="340"/>
      <c r="D354" s="340"/>
      <c r="E354" s="340"/>
      <c r="F354" s="87" t="str">
        <f t="shared" si="61"/>
        <v/>
      </c>
      <c r="G354" s="87" t="str">
        <f t="shared" si="57"/>
        <v/>
      </c>
      <c r="H354" s="340"/>
      <c r="I354" s="340"/>
      <c r="J354" s="63" t="str">
        <f t="shared" si="63"/>
        <v/>
      </c>
      <c r="K354" s="84" t="e">
        <f>#N/A</f>
        <v>#N/A</v>
      </c>
      <c r="L354" s="84" t="e">
        <f>#N/A</f>
        <v>#N/A</v>
      </c>
      <c r="M354" s="63" t="str">
        <f t="shared" si="62"/>
        <v/>
      </c>
      <c r="N354" s="37" t="e">
        <f>SUM(E354:M354)</f>
        <v>#N/A</v>
      </c>
    </row>
    <row r="355" spans="1:14" ht="17.25" hidden="1" customHeight="1" x14ac:dyDescent="0.25">
      <c r="A355" s="82" t="s">
        <v>506</v>
      </c>
      <c r="B355" s="339">
        <v>150201</v>
      </c>
      <c r="C355" s="340">
        <v>0</v>
      </c>
      <c r="D355" s="340"/>
      <c r="E355" s="340">
        <v>0</v>
      </c>
      <c r="F355" s="87" t="str">
        <f t="shared" si="61"/>
        <v/>
      </c>
      <c r="G355" s="87" t="str">
        <f t="shared" si="57"/>
        <v/>
      </c>
      <c r="H355" s="340"/>
      <c r="I355" s="340"/>
      <c r="J355" s="63" t="str">
        <f t="shared" si="63"/>
        <v/>
      </c>
      <c r="K355" s="84" t="e">
        <f>#N/A</f>
        <v>#N/A</v>
      </c>
      <c r="L355" s="84" t="e">
        <f>#N/A</f>
        <v>#N/A</v>
      </c>
      <c r="M355" s="63" t="str">
        <f t="shared" si="62"/>
        <v/>
      </c>
      <c r="N355" s="37" t="e">
        <f>SUM(E355:M355)</f>
        <v>#N/A</v>
      </c>
    </row>
    <row r="356" spans="1:14" s="27" customFormat="1" ht="24" hidden="1" customHeight="1" x14ac:dyDescent="0.25">
      <c r="A356" s="336" t="s">
        <v>507</v>
      </c>
      <c r="B356" s="343">
        <v>160000</v>
      </c>
      <c r="C356" s="344">
        <f>C357+C360+C362+C364+C365+C366+C368</f>
        <v>0</v>
      </c>
      <c r="D356" s="344"/>
      <c r="E356" s="344">
        <f>E357+E360+E362+E364+E365+E366+E368</f>
        <v>0</v>
      </c>
      <c r="F356" s="148" t="str">
        <f t="shared" si="61"/>
        <v/>
      </c>
      <c r="G356" s="148" t="str">
        <f t="shared" si="57"/>
        <v/>
      </c>
      <c r="H356" s="344">
        <f>H357+H360+H362+H364+H365+H366+H368</f>
        <v>0</v>
      </c>
      <c r="I356" s="344">
        <f>I357+I360+I362+I364+I365+I366+I368</f>
        <v>0</v>
      </c>
      <c r="J356" s="148" t="str">
        <f t="shared" si="63"/>
        <v/>
      </c>
      <c r="K356" s="338" t="e">
        <f>#N/A</f>
        <v>#N/A</v>
      </c>
      <c r="L356" s="338" t="e">
        <f>#N/A</f>
        <v>#N/A</v>
      </c>
      <c r="M356" s="148" t="str">
        <f t="shared" si="62"/>
        <v/>
      </c>
      <c r="N356" s="26" t="e">
        <f>#N/A</f>
        <v>#N/A</v>
      </c>
    </row>
    <row r="357" spans="1:14" ht="19.5" hidden="1" customHeight="1" x14ac:dyDescent="0.25">
      <c r="A357" s="82" t="s">
        <v>508</v>
      </c>
      <c r="B357" s="339">
        <v>160100</v>
      </c>
      <c r="C357" s="340"/>
      <c r="D357" s="340"/>
      <c r="E357" s="340"/>
      <c r="F357" s="63" t="str">
        <f t="shared" si="61"/>
        <v/>
      </c>
      <c r="G357" s="63" t="str">
        <f t="shared" si="57"/>
        <v/>
      </c>
      <c r="H357" s="340"/>
      <c r="I357" s="340"/>
      <c r="J357" s="63" t="str">
        <f t="shared" si="63"/>
        <v/>
      </c>
      <c r="K357" s="84" t="e">
        <f>#N/A</f>
        <v>#N/A</v>
      </c>
      <c r="L357" s="84" t="e">
        <f>#N/A</f>
        <v>#N/A</v>
      </c>
      <c r="M357" s="63" t="str">
        <f t="shared" si="62"/>
        <v/>
      </c>
      <c r="N357" s="37" t="e">
        <f>#N/A</f>
        <v>#N/A</v>
      </c>
    </row>
    <row r="358" spans="1:14" ht="20.25" hidden="1" customHeight="1" x14ac:dyDescent="0.25">
      <c r="A358" s="82" t="s">
        <v>509</v>
      </c>
      <c r="B358" s="339">
        <v>160101</v>
      </c>
      <c r="C358" s="340"/>
      <c r="D358" s="340"/>
      <c r="E358" s="340"/>
      <c r="F358" s="63" t="str">
        <f t="shared" si="61"/>
        <v/>
      </c>
      <c r="G358" s="63" t="str">
        <f t="shared" si="57"/>
        <v/>
      </c>
      <c r="H358" s="340"/>
      <c r="I358" s="340"/>
      <c r="J358" s="63" t="str">
        <f t="shared" si="63"/>
        <v/>
      </c>
      <c r="K358" s="84" t="e">
        <f>#N/A</f>
        <v>#N/A</v>
      </c>
      <c r="L358" s="84" t="e">
        <f>#N/A</f>
        <v>#N/A</v>
      </c>
      <c r="M358" s="63" t="str">
        <f t="shared" si="62"/>
        <v/>
      </c>
      <c r="N358" s="37" t="e">
        <f>#N/A</f>
        <v>#N/A</v>
      </c>
    </row>
    <row r="359" spans="1:14" ht="12" hidden="1" customHeight="1" x14ac:dyDescent="0.25">
      <c r="A359" s="82" t="s">
        <v>510</v>
      </c>
      <c r="B359" s="339">
        <v>160103</v>
      </c>
      <c r="C359" s="340"/>
      <c r="D359" s="340"/>
      <c r="E359" s="340"/>
      <c r="F359" s="63" t="str">
        <f t="shared" si="61"/>
        <v/>
      </c>
      <c r="G359" s="63" t="str">
        <f t="shared" si="57"/>
        <v/>
      </c>
      <c r="H359" s="340"/>
      <c r="I359" s="340"/>
      <c r="J359" s="63" t="str">
        <f t="shared" si="63"/>
        <v/>
      </c>
      <c r="K359" s="84" t="e">
        <f>#N/A</f>
        <v>#N/A</v>
      </c>
      <c r="L359" s="84" t="e">
        <f>#N/A</f>
        <v>#N/A</v>
      </c>
      <c r="M359" s="63" t="str">
        <f t="shared" si="62"/>
        <v/>
      </c>
      <c r="N359" s="37" t="e">
        <f>#N/A</f>
        <v>#N/A</v>
      </c>
    </row>
    <row r="360" spans="1:14" ht="15" hidden="1" customHeight="1" x14ac:dyDescent="0.25">
      <c r="A360" s="82" t="s">
        <v>511</v>
      </c>
      <c r="B360" s="339">
        <v>160200</v>
      </c>
      <c r="C360" s="340">
        <f>SUM(C361)</f>
        <v>0</v>
      </c>
      <c r="D360" s="340"/>
      <c r="E360" s="340">
        <f>SUM(E361)</f>
        <v>0</v>
      </c>
      <c r="F360" s="63" t="str">
        <f t="shared" si="61"/>
        <v/>
      </c>
      <c r="G360" s="63" t="str">
        <f t="shared" si="57"/>
        <v/>
      </c>
      <c r="H360" s="340">
        <f>SUM(H361)</f>
        <v>0</v>
      </c>
      <c r="I360" s="340">
        <f>SUM(I361)</f>
        <v>0</v>
      </c>
      <c r="J360" s="63" t="str">
        <f t="shared" si="63"/>
        <v/>
      </c>
      <c r="K360" s="84" t="e">
        <f>#N/A</f>
        <v>#N/A</v>
      </c>
      <c r="L360" s="84" t="e">
        <f>#N/A</f>
        <v>#N/A</v>
      </c>
      <c r="M360" s="63" t="str">
        <f t="shared" si="62"/>
        <v/>
      </c>
      <c r="N360" s="37" t="e">
        <f>#N/A</f>
        <v>#N/A</v>
      </c>
    </row>
    <row r="361" spans="1:14" ht="13.5" hidden="1" customHeight="1" x14ac:dyDescent="0.25">
      <c r="A361" s="82" t="s">
        <v>512</v>
      </c>
      <c r="B361" s="339">
        <v>160201</v>
      </c>
      <c r="C361" s="340"/>
      <c r="D361" s="340"/>
      <c r="E361" s="340"/>
      <c r="F361" s="63" t="str">
        <f t="shared" si="61"/>
        <v/>
      </c>
      <c r="G361" s="63" t="str">
        <f t="shared" si="57"/>
        <v/>
      </c>
      <c r="H361" s="340"/>
      <c r="I361" s="340"/>
      <c r="J361" s="63" t="str">
        <f t="shared" si="63"/>
        <v/>
      </c>
      <c r="K361" s="84" t="e">
        <f>#N/A</f>
        <v>#N/A</v>
      </c>
      <c r="L361" s="84" t="e">
        <f>#N/A</f>
        <v>#N/A</v>
      </c>
      <c r="M361" s="63" t="str">
        <f t="shared" si="62"/>
        <v/>
      </c>
      <c r="N361" s="37" t="e">
        <f>#N/A</f>
        <v>#N/A</v>
      </c>
    </row>
    <row r="362" spans="1:14" ht="18" hidden="1" customHeight="1" x14ac:dyDescent="0.25">
      <c r="A362" s="82" t="s">
        <v>513</v>
      </c>
      <c r="B362" s="339">
        <v>160300</v>
      </c>
      <c r="C362" s="340">
        <f>SUM(C363)</f>
        <v>0</v>
      </c>
      <c r="D362" s="340"/>
      <c r="E362" s="340">
        <f>SUM(E363)</f>
        <v>0</v>
      </c>
      <c r="F362" s="63" t="str">
        <f t="shared" si="61"/>
        <v/>
      </c>
      <c r="G362" s="63" t="str">
        <f t="shared" si="57"/>
        <v/>
      </c>
      <c r="H362" s="340">
        <f>SUM(H363)</f>
        <v>0</v>
      </c>
      <c r="I362" s="340">
        <f>SUM(I363)</f>
        <v>0</v>
      </c>
      <c r="J362" s="63" t="str">
        <f t="shared" si="63"/>
        <v/>
      </c>
      <c r="K362" s="84" t="e">
        <f>#N/A</f>
        <v>#N/A</v>
      </c>
      <c r="L362" s="84" t="e">
        <f>#N/A</f>
        <v>#N/A</v>
      </c>
      <c r="M362" s="63" t="str">
        <f t="shared" si="62"/>
        <v/>
      </c>
      <c r="N362" s="37" t="e">
        <f>#N/A</f>
        <v>#N/A</v>
      </c>
    </row>
    <row r="363" spans="1:14" ht="16.5" hidden="1" customHeight="1" x14ac:dyDescent="0.25">
      <c r="A363" s="82" t="s">
        <v>514</v>
      </c>
      <c r="B363" s="339">
        <v>160304</v>
      </c>
      <c r="C363" s="340"/>
      <c r="D363" s="340"/>
      <c r="E363" s="340"/>
      <c r="F363" s="63" t="str">
        <f t="shared" si="61"/>
        <v/>
      </c>
      <c r="G363" s="63" t="str">
        <f t="shared" si="57"/>
        <v/>
      </c>
      <c r="H363" s="340"/>
      <c r="I363" s="340"/>
      <c r="J363" s="63" t="str">
        <f t="shared" si="63"/>
        <v/>
      </c>
      <c r="K363" s="84" t="e">
        <f>#N/A</f>
        <v>#N/A</v>
      </c>
      <c r="L363" s="84" t="e">
        <f>#N/A</f>
        <v>#N/A</v>
      </c>
      <c r="M363" s="63" t="str">
        <f t="shared" si="62"/>
        <v/>
      </c>
      <c r="N363" s="37" t="e">
        <f>#N/A</f>
        <v>#N/A</v>
      </c>
    </row>
    <row r="364" spans="1:14" ht="13.5" hidden="1" customHeight="1" x14ac:dyDescent="0.25">
      <c r="A364" s="82" t="s">
        <v>515</v>
      </c>
      <c r="B364" s="339">
        <v>160600</v>
      </c>
      <c r="C364" s="86"/>
      <c r="D364" s="86"/>
      <c r="E364" s="86"/>
      <c r="F364" s="63" t="str">
        <f t="shared" si="61"/>
        <v/>
      </c>
      <c r="G364" s="63" t="str">
        <f t="shared" si="57"/>
        <v/>
      </c>
      <c r="H364" s="86"/>
      <c r="I364" s="86"/>
      <c r="J364" s="63" t="str">
        <f t="shared" si="63"/>
        <v/>
      </c>
      <c r="K364" s="84" t="e">
        <f>#N/A</f>
        <v>#N/A</v>
      </c>
      <c r="L364" s="84" t="e">
        <f>#N/A</f>
        <v>#N/A</v>
      </c>
      <c r="M364" s="63" t="str">
        <f t="shared" si="62"/>
        <v/>
      </c>
      <c r="N364" s="37" t="e">
        <f>#N/A</f>
        <v>#N/A</v>
      </c>
    </row>
    <row r="365" spans="1:14" ht="13.5" hidden="1" customHeight="1" x14ac:dyDescent="0.25">
      <c r="A365" s="82" t="s">
        <v>516</v>
      </c>
      <c r="B365" s="339">
        <v>160700</v>
      </c>
      <c r="C365" s="86"/>
      <c r="D365" s="86"/>
      <c r="E365" s="86"/>
      <c r="F365" s="63" t="str">
        <f t="shared" si="61"/>
        <v/>
      </c>
      <c r="G365" s="63" t="str">
        <f t="shared" si="57"/>
        <v/>
      </c>
      <c r="H365" s="86"/>
      <c r="I365" s="86"/>
      <c r="J365" s="63" t="str">
        <f t="shared" si="63"/>
        <v/>
      </c>
      <c r="K365" s="84" t="e">
        <f>#N/A</f>
        <v>#N/A</v>
      </c>
      <c r="L365" s="84" t="e">
        <f>#N/A</f>
        <v>#N/A</v>
      </c>
      <c r="M365" s="63" t="str">
        <f t="shared" si="62"/>
        <v/>
      </c>
      <c r="N365" s="37" t="e">
        <f>#N/A</f>
        <v>#N/A</v>
      </c>
    </row>
    <row r="366" spans="1:14" ht="16.5" hidden="1" customHeight="1" x14ac:dyDescent="0.25">
      <c r="A366" s="82" t="s">
        <v>517</v>
      </c>
      <c r="B366" s="339">
        <v>160900</v>
      </c>
      <c r="C366" s="340">
        <f>SUM(C367)</f>
        <v>0</v>
      </c>
      <c r="D366" s="340"/>
      <c r="E366" s="340">
        <f>SUM(E367)</f>
        <v>0</v>
      </c>
      <c r="F366" s="63" t="str">
        <f t="shared" si="61"/>
        <v/>
      </c>
      <c r="G366" s="63" t="str">
        <f t="shared" si="57"/>
        <v/>
      </c>
      <c r="H366" s="340">
        <f>SUM(H367)</f>
        <v>0</v>
      </c>
      <c r="I366" s="340">
        <f>SUM(I367)</f>
        <v>0</v>
      </c>
      <c r="J366" s="63" t="str">
        <f t="shared" si="63"/>
        <v/>
      </c>
      <c r="K366" s="84" t="e">
        <f>#N/A</f>
        <v>#N/A</v>
      </c>
      <c r="L366" s="84" t="e">
        <f>#N/A</f>
        <v>#N/A</v>
      </c>
      <c r="M366" s="63" t="str">
        <f t="shared" si="62"/>
        <v/>
      </c>
      <c r="N366" s="37" t="e">
        <f>#N/A</f>
        <v>#N/A</v>
      </c>
    </row>
    <row r="367" spans="1:14" ht="16.5" hidden="1" customHeight="1" x14ac:dyDescent="0.25">
      <c r="A367" s="82" t="s">
        <v>518</v>
      </c>
      <c r="B367" s="339">
        <v>160903</v>
      </c>
      <c r="C367" s="340"/>
      <c r="D367" s="340"/>
      <c r="E367" s="340"/>
      <c r="F367" s="63" t="str">
        <f t="shared" si="61"/>
        <v/>
      </c>
      <c r="G367" s="63" t="str">
        <f t="shared" si="57"/>
        <v/>
      </c>
      <c r="H367" s="340"/>
      <c r="I367" s="340"/>
      <c r="J367" s="63" t="str">
        <f t="shared" si="63"/>
        <v/>
      </c>
      <c r="K367" s="84" t="e">
        <f>#N/A</f>
        <v>#N/A</v>
      </c>
      <c r="L367" s="84" t="e">
        <f>#N/A</f>
        <v>#N/A</v>
      </c>
      <c r="M367" s="63" t="str">
        <f t="shared" si="62"/>
        <v/>
      </c>
      <c r="N367" s="37" t="e">
        <f>#N/A</f>
        <v>#N/A</v>
      </c>
    </row>
    <row r="368" spans="1:14" ht="15.75" hidden="1" customHeight="1" x14ac:dyDescent="0.25">
      <c r="A368" s="82" t="s">
        <v>519</v>
      </c>
      <c r="B368" s="339">
        <v>161000</v>
      </c>
      <c r="C368" s="340"/>
      <c r="D368" s="340"/>
      <c r="E368" s="340"/>
      <c r="F368" s="63" t="str">
        <f t="shared" si="61"/>
        <v/>
      </c>
      <c r="G368" s="63" t="str">
        <f t="shared" si="57"/>
        <v/>
      </c>
      <c r="H368" s="340"/>
      <c r="I368" s="340"/>
      <c r="J368" s="63" t="str">
        <f t="shared" si="63"/>
        <v/>
      </c>
      <c r="K368" s="84" t="e">
        <f>#N/A</f>
        <v>#N/A</v>
      </c>
      <c r="L368" s="84" t="e">
        <f>#N/A</f>
        <v>#N/A</v>
      </c>
      <c r="M368" s="63" t="str">
        <f t="shared" si="62"/>
        <v/>
      </c>
      <c r="N368" s="37" t="e">
        <f>#N/A</f>
        <v>#N/A</v>
      </c>
    </row>
    <row r="369" spans="1:14" ht="14.25" hidden="1" customHeight="1" x14ac:dyDescent="0.25">
      <c r="A369" s="82" t="s">
        <v>520</v>
      </c>
      <c r="B369" s="339">
        <v>170100</v>
      </c>
      <c r="C369" s="341">
        <f>SUM(C370:C371)</f>
        <v>0</v>
      </c>
      <c r="D369" s="341">
        <f>SUM(D370:D371)</f>
        <v>0</v>
      </c>
      <c r="E369" s="341">
        <f>SUM(E370:E371)</f>
        <v>0</v>
      </c>
      <c r="F369" s="63" t="str">
        <f t="shared" si="61"/>
        <v/>
      </c>
      <c r="G369" s="63" t="str">
        <f t="shared" si="57"/>
        <v/>
      </c>
      <c r="H369" s="341">
        <f>SUM(H370:H371)</f>
        <v>0</v>
      </c>
      <c r="I369" s="341">
        <f>SUM(I370:I371)</f>
        <v>0</v>
      </c>
      <c r="J369" s="63" t="str">
        <f t="shared" si="63"/>
        <v/>
      </c>
      <c r="K369" s="64" t="e">
        <f>#N/A</f>
        <v>#N/A</v>
      </c>
      <c r="L369" s="64" t="e">
        <f>#N/A</f>
        <v>#N/A</v>
      </c>
      <c r="M369" s="63" t="str">
        <f t="shared" si="62"/>
        <v/>
      </c>
      <c r="N369" s="37" t="e">
        <f>#N/A</f>
        <v>#N/A</v>
      </c>
    </row>
    <row r="370" spans="1:14" ht="16.5" hidden="1" customHeight="1" x14ac:dyDescent="0.25">
      <c r="A370" s="82" t="s">
        <v>521</v>
      </c>
      <c r="B370" s="339">
        <v>170101</v>
      </c>
      <c r="C370" s="340"/>
      <c r="D370" s="340"/>
      <c r="E370" s="340"/>
      <c r="F370" s="63" t="str">
        <f t="shared" si="61"/>
        <v/>
      </c>
      <c r="G370" s="63" t="str">
        <f t="shared" si="57"/>
        <v/>
      </c>
      <c r="H370" s="340"/>
      <c r="I370" s="340"/>
      <c r="J370" s="63" t="str">
        <f t="shared" si="63"/>
        <v/>
      </c>
      <c r="K370" s="84" t="e">
        <f>#N/A</f>
        <v>#N/A</v>
      </c>
      <c r="L370" s="84" t="e">
        <f>#N/A</f>
        <v>#N/A</v>
      </c>
      <c r="M370" s="63" t="str">
        <f t="shared" si="62"/>
        <v/>
      </c>
      <c r="N370" s="37" t="e">
        <f>#N/A</f>
        <v>#N/A</v>
      </c>
    </row>
    <row r="371" spans="1:14" ht="15" hidden="1" customHeight="1" x14ac:dyDescent="0.25">
      <c r="A371" s="82" t="s">
        <v>522</v>
      </c>
      <c r="B371" s="339">
        <v>170102</v>
      </c>
      <c r="C371" s="96"/>
      <c r="D371" s="96"/>
      <c r="E371" s="96"/>
      <c r="F371" s="63" t="str">
        <f t="shared" si="61"/>
        <v/>
      </c>
      <c r="G371" s="63" t="str">
        <f t="shared" si="57"/>
        <v/>
      </c>
      <c r="H371" s="96"/>
      <c r="I371" s="96"/>
      <c r="J371" s="63" t="str">
        <f t="shared" si="63"/>
        <v/>
      </c>
      <c r="K371" s="64" t="e">
        <f>#N/A</f>
        <v>#N/A</v>
      </c>
      <c r="L371" s="64" t="e">
        <f>#N/A</f>
        <v>#N/A</v>
      </c>
      <c r="M371" s="63" t="str">
        <f t="shared" si="62"/>
        <v/>
      </c>
      <c r="N371" s="37" t="e">
        <f>#N/A</f>
        <v>#N/A</v>
      </c>
    </row>
    <row r="372" spans="1:14" ht="13.5" hidden="1" customHeight="1" x14ac:dyDescent="0.25">
      <c r="A372" s="82" t="s">
        <v>523</v>
      </c>
      <c r="B372" s="339">
        <v>170200</v>
      </c>
      <c r="C372" s="340"/>
      <c r="D372" s="340"/>
      <c r="E372" s="340"/>
      <c r="F372" s="87" t="str">
        <f t="shared" ref="F372:F419" si="65">IFERROR(E372/C372,"")</f>
        <v/>
      </c>
      <c r="G372" s="87" t="str">
        <f t="shared" si="57"/>
        <v/>
      </c>
      <c r="H372" s="340"/>
      <c r="I372" s="340"/>
      <c r="J372" s="63" t="str">
        <f t="shared" si="63"/>
        <v/>
      </c>
      <c r="K372" s="84" t="e">
        <f>#N/A</f>
        <v>#N/A</v>
      </c>
      <c r="L372" s="84" t="e">
        <f>#N/A</f>
        <v>#N/A</v>
      </c>
      <c r="M372" s="63" t="str">
        <f t="shared" si="62"/>
        <v/>
      </c>
      <c r="N372" s="37" t="e">
        <f>#N/A</f>
        <v>#N/A</v>
      </c>
    </row>
    <row r="373" spans="1:14" ht="16.5" hidden="1" customHeight="1" x14ac:dyDescent="0.25">
      <c r="A373" s="82" t="s">
        <v>524</v>
      </c>
      <c r="B373" s="339">
        <v>170300</v>
      </c>
      <c r="C373" s="341">
        <f>SUM(C374)</f>
        <v>0</v>
      </c>
      <c r="D373" s="341">
        <f>SUM(D374)</f>
        <v>0</v>
      </c>
      <c r="E373" s="341">
        <f>SUM(E374)</f>
        <v>0</v>
      </c>
      <c r="F373" s="63" t="str">
        <f t="shared" si="65"/>
        <v/>
      </c>
      <c r="G373" s="63" t="str">
        <f t="shared" si="57"/>
        <v/>
      </c>
      <c r="H373" s="341">
        <f>SUM(H374)</f>
        <v>0</v>
      </c>
      <c r="I373" s="341">
        <f>SUM(I374)</f>
        <v>0</v>
      </c>
      <c r="J373" s="63" t="str">
        <f t="shared" si="63"/>
        <v/>
      </c>
      <c r="K373" s="64" t="e">
        <f>#N/A</f>
        <v>#N/A</v>
      </c>
      <c r="L373" s="64" t="e">
        <f>#N/A</f>
        <v>#N/A</v>
      </c>
      <c r="M373" s="63" t="str">
        <f t="shared" si="62"/>
        <v/>
      </c>
      <c r="N373" s="37" t="e">
        <f>#N/A</f>
        <v>#N/A</v>
      </c>
    </row>
    <row r="374" spans="1:14" ht="14.25" hidden="1" customHeight="1" x14ac:dyDescent="0.25">
      <c r="A374" s="82" t="s">
        <v>290</v>
      </c>
      <c r="B374" s="339">
        <v>170302</v>
      </c>
      <c r="C374" s="341"/>
      <c r="D374" s="341"/>
      <c r="E374" s="341"/>
      <c r="F374" s="63" t="str">
        <f t="shared" si="65"/>
        <v/>
      </c>
      <c r="G374" s="63" t="str">
        <f t="shared" si="57"/>
        <v/>
      </c>
      <c r="H374" s="341"/>
      <c r="I374" s="341"/>
      <c r="J374" s="63" t="str">
        <f t="shared" si="63"/>
        <v/>
      </c>
      <c r="K374" s="64" t="e">
        <f>#N/A</f>
        <v>#N/A</v>
      </c>
      <c r="L374" s="64" t="e">
        <f>#N/A</f>
        <v>#N/A</v>
      </c>
      <c r="M374" s="63" t="str">
        <f t="shared" si="62"/>
        <v/>
      </c>
      <c r="N374" s="37" t="e">
        <f>#N/A</f>
        <v>#N/A</v>
      </c>
    </row>
    <row r="375" spans="1:14" ht="15.75" hidden="1" customHeight="1" x14ac:dyDescent="0.25">
      <c r="A375" s="82" t="s">
        <v>525</v>
      </c>
      <c r="B375" s="339">
        <v>170601</v>
      </c>
      <c r="C375" s="340"/>
      <c r="D375" s="340"/>
      <c r="E375" s="340"/>
      <c r="F375" s="63" t="str">
        <f t="shared" si="65"/>
        <v/>
      </c>
      <c r="G375" s="63" t="str">
        <f t="shared" ref="G375:G439" si="66">IFERROR(E375/D375,"")</f>
        <v/>
      </c>
      <c r="H375" s="340"/>
      <c r="I375" s="340"/>
      <c r="J375" s="63" t="str">
        <f t="shared" si="63"/>
        <v/>
      </c>
      <c r="K375" s="84" t="e">
        <f>#N/A</f>
        <v>#N/A</v>
      </c>
      <c r="L375" s="84" t="e">
        <f>#N/A</f>
        <v>#N/A</v>
      </c>
      <c r="M375" s="63" t="str">
        <f t="shared" si="62"/>
        <v/>
      </c>
      <c r="N375" s="37" t="e">
        <f>#N/A</f>
        <v>#N/A</v>
      </c>
    </row>
    <row r="376" spans="1:14" ht="18" hidden="1" customHeight="1" x14ac:dyDescent="0.25">
      <c r="A376" s="82" t="s">
        <v>292</v>
      </c>
      <c r="B376" s="339">
        <v>170602</v>
      </c>
      <c r="C376" s="341"/>
      <c r="D376" s="341"/>
      <c r="E376" s="341"/>
      <c r="F376" s="63" t="str">
        <f t="shared" si="65"/>
        <v/>
      </c>
      <c r="G376" s="63" t="str">
        <f t="shared" si="66"/>
        <v/>
      </c>
      <c r="H376" s="341"/>
      <c r="I376" s="341"/>
      <c r="J376" s="63" t="str">
        <f t="shared" si="63"/>
        <v/>
      </c>
      <c r="K376" s="64" t="e">
        <f>#N/A</f>
        <v>#N/A</v>
      </c>
      <c r="L376" s="64" t="e">
        <f>#N/A</f>
        <v>#N/A</v>
      </c>
      <c r="M376" s="63" t="str">
        <f t="shared" si="62"/>
        <v/>
      </c>
      <c r="N376" s="37" t="e">
        <f>#N/A</f>
        <v>#N/A</v>
      </c>
    </row>
    <row r="377" spans="1:14" s="27" customFormat="1" ht="13.5" hidden="1" customHeight="1" x14ac:dyDescent="0.25">
      <c r="A377" s="336" t="s">
        <v>526</v>
      </c>
      <c r="B377" s="343">
        <v>180000</v>
      </c>
      <c r="C377" s="345">
        <f>SUM(C378+C379)</f>
        <v>0</v>
      </c>
      <c r="D377" s="346">
        <f>SUM(D378+D379)</f>
        <v>0</v>
      </c>
      <c r="E377" s="345">
        <f>SUM(E378+E379)</f>
        <v>0</v>
      </c>
      <c r="F377" s="148" t="str">
        <f t="shared" si="65"/>
        <v/>
      </c>
      <c r="G377" s="63" t="str">
        <f t="shared" si="66"/>
        <v/>
      </c>
      <c r="H377" s="345">
        <f>SUM(H378+H379)</f>
        <v>0</v>
      </c>
      <c r="I377" s="345">
        <f>SUM(I378+I379)</f>
        <v>0</v>
      </c>
      <c r="J377" s="148" t="str">
        <f t="shared" si="63"/>
        <v/>
      </c>
      <c r="K377" s="347" t="e">
        <f>#N/A</f>
        <v>#N/A</v>
      </c>
      <c r="L377" s="347" t="e">
        <f>#N/A</f>
        <v>#N/A</v>
      </c>
      <c r="M377" s="148" t="str">
        <f t="shared" si="62"/>
        <v/>
      </c>
      <c r="N377" s="26" t="e">
        <f>#N/A</f>
        <v>#N/A</v>
      </c>
    </row>
    <row r="378" spans="1:14" ht="18" hidden="1" customHeight="1" x14ac:dyDescent="0.25">
      <c r="A378" s="82" t="s">
        <v>527</v>
      </c>
      <c r="B378" s="339">
        <v>180404</v>
      </c>
      <c r="C378" s="340"/>
      <c r="D378" s="340"/>
      <c r="E378" s="340"/>
      <c r="F378" s="87" t="str">
        <f t="shared" si="65"/>
        <v/>
      </c>
      <c r="G378" s="87" t="str">
        <f t="shared" si="66"/>
        <v/>
      </c>
      <c r="H378" s="340"/>
      <c r="I378" s="340"/>
      <c r="J378" s="63" t="str">
        <f t="shared" si="63"/>
        <v/>
      </c>
      <c r="K378" s="84" t="e">
        <f>#N/A</f>
        <v>#N/A</v>
      </c>
      <c r="L378" s="84" t="e">
        <f>#N/A</f>
        <v>#N/A</v>
      </c>
      <c r="M378" s="63" t="str">
        <f t="shared" si="62"/>
        <v/>
      </c>
      <c r="N378" s="37" t="e">
        <f>#N/A</f>
        <v>#N/A</v>
      </c>
    </row>
    <row r="379" spans="1:14" ht="24.75" hidden="1" customHeight="1" x14ac:dyDescent="0.25">
      <c r="A379" s="82" t="s">
        <v>528</v>
      </c>
      <c r="B379" s="339">
        <v>180409</v>
      </c>
      <c r="C379" s="341"/>
      <c r="D379" s="348"/>
      <c r="E379" s="341"/>
      <c r="F379" s="63" t="str">
        <f t="shared" si="65"/>
        <v/>
      </c>
      <c r="G379" s="63" t="str">
        <f t="shared" si="66"/>
        <v/>
      </c>
      <c r="H379" s="341"/>
      <c r="I379" s="341"/>
      <c r="J379" s="63" t="str">
        <f t="shared" si="63"/>
        <v/>
      </c>
      <c r="K379" s="64" t="e">
        <f>#N/A</f>
        <v>#N/A</v>
      </c>
      <c r="L379" s="64" t="e">
        <f>#N/A</f>
        <v>#N/A</v>
      </c>
      <c r="M379" s="63" t="str">
        <f t="shared" ref="M379:M443" si="67">IFERROR(L379/K379,"")</f>
        <v/>
      </c>
      <c r="N379" s="37" t="e">
        <f>#N/A</f>
        <v>#N/A</v>
      </c>
    </row>
    <row r="380" spans="1:14" s="27" customFormat="1" ht="18" hidden="1" customHeight="1" x14ac:dyDescent="0.25">
      <c r="A380" s="336" t="s">
        <v>529</v>
      </c>
      <c r="B380" s="343">
        <v>190000</v>
      </c>
      <c r="C380" s="349"/>
      <c r="D380" s="349"/>
      <c r="E380" s="349"/>
      <c r="F380" s="148" t="str">
        <f t="shared" si="65"/>
        <v/>
      </c>
      <c r="G380" s="148" t="str">
        <f t="shared" si="66"/>
        <v/>
      </c>
      <c r="H380" s="349"/>
      <c r="I380" s="349"/>
      <c r="J380" s="148" t="str">
        <f t="shared" si="63"/>
        <v/>
      </c>
      <c r="K380" s="338" t="e">
        <f>#N/A</f>
        <v>#N/A</v>
      </c>
      <c r="L380" s="338" t="e">
        <f>#N/A</f>
        <v>#N/A</v>
      </c>
      <c r="M380" s="148" t="str">
        <f t="shared" si="67"/>
        <v/>
      </c>
      <c r="N380" s="26" t="e">
        <f>#N/A</f>
        <v>#N/A</v>
      </c>
    </row>
    <row r="381" spans="1:14" s="27" customFormat="1" ht="20.25" hidden="1" customHeight="1" x14ac:dyDescent="0.25">
      <c r="A381" s="336" t="s">
        <v>530</v>
      </c>
      <c r="B381" s="343">
        <v>200000</v>
      </c>
      <c r="C381" s="345" t="e">
        <f>SUM(C383,C384,#REF!)</f>
        <v>#REF!</v>
      </c>
      <c r="D381" s="345" t="e">
        <f>SUM(D383,D384,#REF!)</f>
        <v>#REF!</v>
      </c>
      <c r="E381" s="345" t="e">
        <f>SUM(E383,E384,#REF!)</f>
        <v>#REF!</v>
      </c>
      <c r="F381" s="148" t="str">
        <f t="shared" si="65"/>
        <v/>
      </c>
      <c r="G381" s="56" t="str">
        <f t="shared" si="66"/>
        <v/>
      </c>
      <c r="H381" s="345" t="e">
        <f>SUM(H383,H382,H384,#REF!)</f>
        <v>#REF!</v>
      </c>
      <c r="I381" s="345" t="e">
        <f>SUM(I383,I382,I384,#REF!)</f>
        <v>#REF!</v>
      </c>
      <c r="J381" s="350" t="str">
        <f t="shared" si="63"/>
        <v/>
      </c>
      <c r="K381" s="347" t="e">
        <f>#N/A</f>
        <v>#N/A</v>
      </c>
      <c r="L381" s="347" t="e">
        <f>#N/A</f>
        <v>#N/A</v>
      </c>
      <c r="M381" s="148" t="str">
        <f t="shared" si="67"/>
        <v/>
      </c>
      <c r="N381" s="26" t="e">
        <f>#N/A</f>
        <v>#N/A</v>
      </c>
    </row>
    <row r="382" spans="1:14" s="27" customFormat="1" ht="18" hidden="1" customHeight="1" x14ac:dyDescent="0.25">
      <c r="A382" s="351" t="s">
        <v>531</v>
      </c>
      <c r="B382" s="352">
        <v>200100</v>
      </c>
      <c r="C382" s="353"/>
      <c r="D382" s="354"/>
      <c r="E382" s="353"/>
      <c r="F382" s="56" t="str">
        <f t="shared" si="65"/>
        <v/>
      </c>
      <c r="G382" s="63" t="str">
        <f t="shared" si="66"/>
        <v/>
      </c>
      <c r="H382" s="353"/>
      <c r="I382" s="353"/>
      <c r="J382" s="49" t="str">
        <f t="shared" ref="J382:J445" si="68">IFERROR(I382/H382,"")</f>
        <v/>
      </c>
      <c r="K382" s="113" t="e">
        <f>#N/A</f>
        <v>#N/A</v>
      </c>
      <c r="L382" s="113">
        <f>SUM(I382,D382)</f>
        <v>0</v>
      </c>
      <c r="M382" s="49" t="str">
        <f t="shared" si="67"/>
        <v/>
      </c>
      <c r="N382" s="26"/>
    </row>
    <row r="383" spans="1:14" ht="15.75" hidden="1" customHeight="1" x14ac:dyDescent="0.25">
      <c r="A383" s="82" t="s">
        <v>532</v>
      </c>
      <c r="B383" s="339">
        <v>200200</v>
      </c>
      <c r="C383" s="353"/>
      <c r="D383" s="353"/>
      <c r="E383" s="353"/>
      <c r="F383" s="49" t="str">
        <f t="shared" si="65"/>
        <v/>
      </c>
      <c r="G383" s="63" t="str">
        <f t="shared" si="66"/>
        <v/>
      </c>
      <c r="H383" s="353"/>
      <c r="I383" s="353"/>
      <c r="J383" s="49" t="str">
        <f t="shared" si="68"/>
        <v/>
      </c>
      <c r="K383" s="113" t="e">
        <f>#N/A</f>
        <v>#N/A</v>
      </c>
      <c r="L383" s="113">
        <f>SUM(I383,D383)</f>
        <v>0</v>
      </c>
      <c r="M383" s="49" t="str">
        <f t="shared" si="67"/>
        <v/>
      </c>
      <c r="N383" s="37" t="e">
        <f>SUM(C383:M383)</f>
        <v>#N/A</v>
      </c>
    </row>
    <row r="384" spans="1:14" ht="21" hidden="1" customHeight="1" x14ac:dyDescent="0.25">
      <c r="A384" s="355" t="s">
        <v>533</v>
      </c>
      <c r="B384" s="339">
        <v>200600</v>
      </c>
      <c r="C384" s="353"/>
      <c r="D384" s="353"/>
      <c r="E384" s="353"/>
      <c r="F384" s="49" t="str">
        <f t="shared" si="65"/>
        <v/>
      </c>
      <c r="G384" s="63" t="str">
        <f t="shared" si="66"/>
        <v/>
      </c>
      <c r="H384" s="353"/>
      <c r="I384" s="353"/>
      <c r="J384" s="356" t="str">
        <f t="shared" si="68"/>
        <v/>
      </c>
      <c r="K384" s="113" t="e">
        <f>#N/A</f>
        <v>#N/A</v>
      </c>
      <c r="L384" s="113">
        <f>SUM(I384,D384)</f>
        <v>0</v>
      </c>
      <c r="M384" s="49" t="str">
        <f t="shared" si="67"/>
        <v/>
      </c>
      <c r="N384" s="37"/>
    </row>
    <row r="385" spans="1:16" ht="22.5" hidden="1" customHeight="1" x14ac:dyDescent="0.25">
      <c r="A385" s="357" t="s">
        <v>459</v>
      </c>
      <c r="B385" s="358">
        <v>7670</v>
      </c>
      <c r="C385" s="359"/>
      <c r="D385" s="360"/>
      <c r="E385" s="359"/>
      <c r="F385" s="313" t="str">
        <f t="shared" si="65"/>
        <v/>
      </c>
      <c r="G385" s="183" t="str">
        <f t="shared" si="66"/>
        <v/>
      </c>
      <c r="H385" s="359">
        <v>0</v>
      </c>
      <c r="I385" s="359">
        <v>0</v>
      </c>
      <c r="J385" s="361" t="str">
        <f t="shared" si="68"/>
        <v/>
      </c>
      <c r="K385" s="362" t="e">
        <f>#N/A</f>
        <v>#N/A</v>
      </c>
      <c r="L385" s="362">
        <f>SUM(I385,E385)</f>
        <v>0</v>
      </c>
      <c r="M385" s="363" t="str">
        <f t="shared" si="67"/>
        <v/>
      </c>
      <c r="N385" s="37"/>
      <c r="O385" s="301"/>
      <c r="P385" s="198"/>
    </row>
    <row r="386" spans="1:16" ht="24.75" hidden="1" customHeight="1" x14ac:dyDescent="0.25">
      <c r="A386" s="357" t="s">
        <v>534</v>
      </c>
      <c r="B386" s="358">
        <v>7700</v>
      </c>
      <c r="C386" s="359"/>
      <c r="D386" s="360"/>
      <c r="E386" s="359"/>
      <c r="F386" s="313" t="str">
        <f t="shared" si="65"/>
        <v/>
      </c>
      <c r="G386" s="183" t="str">
        <f t="shared" si="66"/>
        <v/>
      </c>
      <c r="H386" s="359"/>
      <c r="I386" s="359"/>
      <c r="J386" s="317" t="str">
        <f t="shared" si="68"/>
        <v/>
      </c>
      <c r="K386" s="362"/>
      <c r="L386" s="362"/>
      <c r="M386" s="93" t="str">
        <f t="shared" si="67"/>
        <v/>
      </c>
      <c r="N386" s="37"/>
      <c r="P386" s="198"/>
    </row>
    <row r="387" spans="1:16" s="27" customFormat="1" ht="22.5" hidden="1" customHeight="1" x14ac:dyDescent="0.25">
      <c r="A387" s="336" t="s">
        <v>535</v>
      </c>
      <c r="B387" s="343">
        <v>7800</v>
      </c>
      <c r="C387" s="364">
        <f>C389+C390</f>
        <v>0</v>
      </c>
      <c r="D387" s="364">
        <f>D389+D390</f>
        <v>0</v>
      </c>
      <c r="E387" s="364">
        <f>E389+E390</f>
        <v>0</v>
      </c>
      <c r="F387" s="255" t="str">
        <f t="shared" si="65"/>
        <v/>
      </c>
      <c r="G387" s="255" t="str">
        <f t="shared" si="66"/>
        <v/>
      </c>
      <c r="H387" s="364">
        <f>SUM(H388,H391)</f>
        <v>0</v>
      </c>
      <c r="I387" s="364">
        <f>SUM(I388,I391)</f>
        <v>0</v>
      </c>
      <c r="J387" s="255" t="str">
        <f t="shared" si="68"/>
        <v/>
      </c>
      <c r="K387" s="365" t="e">
        <f>#N/A</f>
        <v>#N/A</v>
      </c>
      <c r="L387" s="365" t="e">
        <f>#N/A</f>
        <v>#N/A</v>
      </c>
      <c r="M387" s="148" t="str">
        <f t="shared" si="67"/>
        <v/>
      </c>
      <c r="N387" s="26" t="e">
        <f>SUM(C387:M387)</f>
        <v>#N/A</v>
      </c>
    </row>
    <row r="388" spans="1:16" ht="21.75" hidden="1" customHeight="1" x14ac:dyDescent="0.25">
      <c r="A388" s="82" t="s">
        <v>536</v>
      </c>
      <c r="B388" s="339">
        <v>210100</v>
      </c>
      <c r="C388" s="341"/>
      <c r="D388" s="348">
        <f>SUM(D389,D390)</f>
        <v>0</v>
      </c>
      <c r="E388" s="341"/>
      <c r="F388" s="63" t="str">
        <f t="shared" si="65"/>
        <v/>
      </c>
      <c r="G388" s="63" t="str">
        <f t="shared" si="66"/>
        <v/>
      </c>
      <c r="H388" s="341">
        <f>SUM(H389,H390)</f>
        <v>0</v>
      </c>
      <c r="I388" s="341">
        <f>SUM(I389,I390)</f>
        <v>0</v>
      </c>
      <c r="J388" s="356" t="str">
        <f t="shared" si="68"/>
        <v/>
      </c>
      <c r="K388" s="64" t="e">
        <f>#N/A</f>
        <v>#N/A</v>
      </c>
      <c r="L388" s="64" t="e">
        <f>#N/A</f>
        <v>#N/A</v>
      </c>
      <c r="M388" s="63" t="str">
        <f t="shared" si="67"/>
        <v/>
      </c>
      <c r="N388" s="37" t="e">
        <f>SUM(C388:M388)</f>
        <v>#N/A</v>
      </c>
    </row>
    <row r="389" spans="1:16" ht="15.75" hidden="1" customHeight="1" x14ac:dyDescent="0.25">
      <c r="A389" s="82" t="s">
        <v>537</v>
      </c>
      <c r="B389" s="339">
        <v>7810</v>
      </c>
      <c r="C389" s="366"/>
      <c r="D389" s="366">
        <v>0</v>
      </c>
      <c r="E389" s="366"/>
      <c r="F389" s="183" t="str">
        <f t="shared" si="65"/>
        <v/>
      </c>
      <c r="G389" s="183" t="str">
        <f t="shared" si="66"/>
        <v/>
      </c>
      <c r="H389" s="366"/>
      <c r="I389" s="366"/>
      <c r="J389" s="255" t="str">
        <f t="shared" si="68"/>
        <v/>
      </c>
      <c r="K389" s="186" t="e">
        <f>#N/A</f>
        <v>#N/A</v>
      </c>
      <c r="L389" s="186" t="e">
        <f>#N/A</f>
        <v>#N/A</v>
      </c>
      <c r="M389" s="63" t="str">
        <f t="shared" si="67"/>
        <v/>
      </c>
      <c r="N389" s="37" t="e">
        <f>SUM(C389:M389)</f>
        <v>#N/A</v>
      </c>
    </row>
    <row r="390" spans="1:16" ht="17.25" hidden="1" customHeight="1" x14ac:dyDescent="0.25">
      <c r="A390" s="47" t="s">
        <v>538</v>
      </c>
      <c r="B390" s="367">
        <v>7840</v>
      </c>
      <c r="C390" s="366"/>
      <c r="D390" s="366">
        <v>0</v>
      </c>
      <c r="E390" s="366"/>
      <c r="F390" s="183" t="str">
        <f t="shared" si="65"/>
        <v/>
      </c>
      <c r="G390" s="183" t="str">
        <f t="shared" si="66"/>
        <v/>
      </c>
      <c r="H390" s="366">
        <v>0</v>
      </c>
      <c r="I390" s="366"/>
      <c r="J390" s="255" t="str">
        <f t="shared" si="68"/>
        <v/>
      </c>
      <c r="K390" s="186" t="e">
        <f>#N/A</f>
        <v>#N/A</v>
      </c>
      <c r="L390" s="186">
        <f>SUM(I390,E390)</f>
        <v>0</v>
      </c>
      <c r="M390" s="63" t="str">
        <f t="shared" si="67"/>
        <v/>
      </c>
      <c r="N390" s="37" t="e">
        <f>SUM(C390:M390)</f>
        <v>#N/A</v>
      </c>
    </row>
    <row r="391" spans="1:16" ht="22.5" hidden="1" customHeight="1" x14ac:dyDescent="0.25">
      <c r="A391" s="82" t="s">
        <v>539</v>
      </c>
      <c r="B391" s="339">
        <v>210200</v>
      </c>
      <c r="C391" s="368"/>
      <c r="D391" s="368"/>
      <c r="E391" s="368"/>
      <c r="F391" s="63" t="str">
        <f t="shared" si="65"/>
        <v/>
      </c>
      <c r="G391" s="148" t="str">
        <f t="shared" si="66"/>
        <v/>
      </c>
      <c r="H391" s="368"/>
      <c r="I391" s="368"/>
      <c r="J391" s="63" t="str">
        <f t="shared" si="68"/>
        <v/>
      </c>
      <c r="K391" s="84" t="e">
        <f>#N/A</f>
        <v>#N/A</v>
      </c>
      <c r="L391" s="84" t="e">
        <f>#N/A</f>
        <v>#N/A</v>
      </c>
      <c r="M391" s="63" t="str">
        <f t="shared" si="67"/>
        <v/>
      </c>
      <c r="N391" s="37" t="e">
        <f>SUM(C391:M391)</f>
        <v>#N/A</v>
      </c>
    </row>
    <row r="392" spans="1:16" ht="16.5" hidden="1" customHeight="1" x14ac:dyDescent="0.25">
      <c r="A392" s="681" t="s">
        <v>540</v>
      </c>
      <c r="B392" s="489">
        <v>8600</v>
      </c>
      <c r="C392" s="370">
        <v>0</v>
      </c>
      <c r="D392" s="371"/>
      <c r="E392" s="370">
        <v>0</v>
      </c>
      <c r="F392" s="682" t="str">
        <f t="shared" si="65"/>
        <v/>
      </c>
      <c r="G392" s="372" t="str">
        <f t="shared" si="66"/>
        <v/>
      </c>
      <c r="H392" s="683"/>
      <c r="I392" s="684">
        <v>0</v>
      </c>
      <c r="J392" s="679" t="str">
        <f t="shared" si="68"/>
        <v/>
      </c>
      <c r="K392" s="53">
        <f>SUM(H392,C392)</f>
        <v>0</v>
      </c>
      <c r="L392" s="53">
        <f>E392+I392</f>
        <v>0</v>
      </c>
      <c r="M392" s="682" t="str">
        <f t="shared" si="67"/>
        <v/>
      </c>
      <c r="N392" s="37"/>
    </row>
    <row r="393" spans="1:16" ht="20.25" customHeight="1" x14ac:dyDescent="0.25">
      <c r="A393" s="139" t="s">
        <v>541</v>
      </c>
      <c r="B393" s="226">
        <v>8710</v>
      </c>
      <c r="C393" s="34">
        <v>1347.94</v>
      </c>
      <c r="D393" s="80">
        <v>0</v>
      </c>
      <c r="E393" s="34">
        <v>0</v>
      </c>
      <c r="F393" s="19">
        <f t="shared" si="65"/>
        <v>0</v>
      </c>
      <c r="G393" s="583" t="str">
        <f t="shared" si="66"/>
        <v/>
      </c>
      <c r="H393" s="30"/>
      <c r="I393" s="30">
        <v>0</v>
      </c>
      <c r="J393" s="305" t="str">
        <f t="shared" si="68"/>
        <v/>
      </c>
      <c r="K393" s="35">
        <f>SUM(H393,C393)</f>
        <v>1347.94</v>
      </c>
      <c r="L393" s="34">
        <f>E393+I393</f>
        <v>0</v>
      </c>
      <c r="M393" s="115">
        <f t="shared" si="67"/>
        <v>0</v>
      </c>
      <c r="N393" s="37"/>
    </row>
    <row r="394" spans="1:16" ht="16.5" hidden="1" customHeight="1" x14ac:dyDescent="0.25">
      <c r="A394" s="812" t="s">
        <v>542</v>
      </c>
      <c r="B394" s="813">
        <v>8108</v>
      </c>
      <c r="C394" s="374"/>
      <c r="D394" s="375">
        <v>0</v>
      </c>
      <c r="E394" s="374"/>
      <c r="F394" s="573" t="str">
        <f t="shared" si="65"/>
        <v/>
      </c>
      <c r="G394" s="183" t="str">
        <f t="shared" si="66"/>
        <v/>
      </c>
      <c r="H394" s="376"/>
      <c r="I394" s="235"/>
      <c r="J394" s="814" t="str">
        <f t="shared" si="68"/>
        <v/>
      </c>
      <c r="K394" s="235" t="e">
        <f>#N/A</f>
        <v>#N/A</v>
      </c>
      <c r="L394" s="235" t="e">
        <f>#N/A</f>
        <v>#N/A</v>
      </c>
      <c r="M394" s="496" t="str">
        <f t="shared" si="67"/>
        <v/>
      </c>
      <c r="N394" s="37"/>
      <c r="O394" s="301"/>
      <c r="P394" s="198"/>
    </row>
    <row r="395" spans="1:16" ht="21.75" hidden="1" customHeight="1" x14ac:dyDescent="0.25">
      <c r="A395" s="373" t="s">
        <v>543</v>
      </c>
      <c r="B395" s="377">
        <v>8590</v>
      </c>
      <c r="C395" s="359"/>
      <c r="D395" s="366"/>
      <c r="E395" s="314"/>
      <c r="F395" s="313" t="str">
        <f t="shared" si="65"/>
        <v/>
      </c>
      <c r="G395" s="183" t="str">
        <f t="shared" si="66"/>
        <v/>
      </c>
      <c r="H395" s="314"/>
      <c r="I395" s="314"/>
      <c r="J395" s="255" t="str">
        <f t="shared" si="68"/>
        <v/>
      </c>
      <c r="K395" s="314" t="e">
        <f>#N/A</f>
        <v>#N/A</v>
      </c>
      <c r="L395" s="314" t="e">
        <f>#N/A</f>
        <v>#N/A</v>
      </c>
      <c r="M395" s="56" t="str">
        <f t="shared" si="67"/>
        <v/>
      </c>
      <c r="N395" s="37"/>
      <c r="P395" s="198"/>
    </row>
    <row r="396" spans="1:16" s="27" customFormat="1" ht="19.5" hidden="1" customHeight="1" x14ac:dyDescent="0.25">
      <c r="A396" s="378" t="s">
        <v>544</v>
      </c>
      <c r="B396" s="343">
        <v>9100</v>
      </c>
      <c r="C396" s="364">
        <f>SUM(C397,C398,C399)</f>
        <v>0</v>
      </c>
      <c r="D396" s="364">
        <f>SUM(D397,D398,D399)</f>
        <v>0</v>
      </c>
      <c r="E396" s="364">
        <f>SUM(E397,E398,E399)</f>
        <v>0</v>
      </c>
      <c r="F396" s="183" t="str">
        <f t="shared" si="65"/>
        <v/>
      </c>
      <c r="G396" s="255" t="str">
        <f t="shared" si="66"/>
        <v/>
      </c>
      <c r="H396" s="364">
        <f>SUM(H397,H398,H399)+H400</f>
        <v>0</v>
      </c>
      <c r="I396" s="364">
        <f>SUM(I397,I398,I399)+I400</f>
        <v>0</v>
      </c>
      <c r="J396" s="255" t="str">
        <f t="shared" si="68"/>
        <v/>
      </c>
      <c r="K396" s="186" t="e">
        <f>#N/A</f>
        <v>#N/A</v>
      </c>
      <c r="L396" s="186" t="e">
        <f>#N/A</f>
        <v>#N/A</v>
      </c>
      <c r="M396" s="63" t="str">
        <f t="shared" si="67"/>
        <v/>
      </c>
      <c r="N396" s="26" t="e">
        <f>SUM(C396:M396)</f>
        <v>#N/A</v>
      </c>
      <c r="P396" s="198"/>
    </row>
    <row r="397" spans="1:16" ht="27.75" hidden="1" customHeight="1" x14ac:dyDescent="0.25">
      <c r="A397" s="82" t="s">
        <v>545</v>
      </c>
      <c r="B397" s="339">
        <v>9110</v>
      </c>
      <c r="C397" s="366"/>
      <c r="D397" s="366"/>
      <c r="E397" s="366"/>
      <c r="F397" s="183" t="str">
        <f t="shared" si="65"/>
        <v/>
      </c>
      <c r="G397" s="251" t="str">
        <f t="shared" si="66"/>
        <v/>
      </c>
      <c r="H397" s="366"/>
      <c r="I397" s="366"/>
      <c r="J397" s="317" t="str">
        <f t="shared" si="68"/>
        <v/>
      </c>
      <c r="K397" s="186" t="e">
        <f>#N/A</f>
        <v>#N/A</v>
      </c>
      <c r="L397" s="186" t="e">
        <f>#N/A</f>
        <v>#N/A</v>
      </c>
      <c r="M397" s="63" t="str">
        <f t="shared" si="67"/>
        <v/>
      </c>
      <c r="N397" s="37" t="e">
        <f>SUM(C397:M397)</f>
        <v>#N/A</v>
      </c>
      <c r="P397" s="198"/>
    </row>
    <row r="398" spans="1:16" ht="29.25" hidden="1" customHeight="1" x14ac:dyDescent="0.25">
      <c r="A398" s="82" t="s">
        <v>483</v>
      </c>
      <c r="B398" s="339">
        <v>9120</v>
      </c>
      <c r="C398" s="366"/>
      <c r="D398" s="366"/>
      <c r="E398" s="366"/>
      <c r="F398" s="183" t="str">
        <f t="shared" si="65"/>
        <v/>
      </c>
      <c r="G398" s="183" t="str">
        <f t="shared" si="66"/>
        <v/>
      </c>
      <c r="H398" s="366"/>
      <c r="I398" s="366"/>
      <c r="J398" s="317" t="str">
        <f t="shared" si="68"/>
        <v/>
      </c>
      <c r="K398" s="186" t="e">
        <f>#N/A</f>
        <v>#N/A</v>
      </c>
      <c r="L398" s="186" t="e">
        <f>#N/A</f>
        <v>#N/A</v>
      </c>
      <c r="M398" s="63" t="str">
        <f t="shared" si="67"/>
        <v/>
      </c>
      <c r="N398" s="37" t="e">
        <f>SUM(C398:M398)</f>
        <v>#N/A</v>
      </c>
    </row>
    <row r="399" spans="1:16" ht="24.75" hidden="1" customHeight="1" x14ac:dyDescent="0.25">
      <c r="A399" s="47" t="s">
        <v>546</v>
      </c>
      <c r="B399" s="339">
        <v>9140</v>
      </c>
      <c r="C399" s="62"/>
      <c r="D399" s="62"/>
      <c r="E399" s="62"/>
      <c r="F399" s="183" t="str">
        <f t="shared" si="65"/>
        <v/>
      </c>
      <c r="G399" s="251" t="str">
        <f t="shared" si="66"/>
        <v/>
      </c>
      <c r="H399" s="366"/>
      <c r="I399" s="62"/>
      <c r="J399" s="317" t="str">
        <f t="shared" si="68"/>
        <v/>
      </c>
      <c r="K399" s="186" t="e">
        <f>#N/A</f>
        <v>#N/A</v>
      </c>
      <c r="L399" s="186" t="e">
        <f>#N/A</f>
        <v>#N/A</v>
      </c>
      <c r="M399" s="63" t="str">
        <f t="shared" si="67"/>
        <v/>
      </c>
      <c r="N399" s="37" t="e">
        <f>SUM(C399:M399)</f>
        <v>#N/A</v>
      </c>
    </row>
    <row r="400" spans="1:16" ht="23.25" hidden="1" customHeight="1" x14ac:dyDescent="0.25">
      <c r="A400" s="47" t="s">
        <v>547</v>
      </c>
      <c r="B400" s="339">
        <v>9150</v>
      </c>
      <c r="C400" s="62"/>
      <c r="D400" s="62"/>
      <c r="E400" s="62"/>
      <c r="F400" s="183" t="str">
        <f t="shared" si="65"/>
        <v/>
      </c>
      <c r="G400" s="251" t="str">
        <f t="shared" si="66"/>
        <v/>
      </c>
      <c r="H400" s="366"/>
      <c r="I400" s="62"/>
      <c r="J400" s="317" t="str">
        <f t="shared" si="68"/>
        <v/>
      </c>
      <c r="K400" s="186" t="e">
        <f>#N/A</f>
        <v>#N/A</v>
      </c>
      <c r="L400" s="186" t="e">
        <f>#N/A</f>
        <v>#N/A</v>
      </c>
      <c r="M400" s="63" t="str">
        <f t="shared" si="67"/>
        <v/>
      </c>
      <c r="N400" s="37"/>
    </row>
    <row r="401" spans="1:16" ht="25.5" hidden="1" customHeight="1" x14ac:dyDescent="0.25">
      <c r="A401" s="379" t="s">
        <v>548</v>
      </c>
      <c r="B401" s="380">
        <v>9700</v>
      </c>
      <c r="C401" s="381">
        <f>C402+C403</f>
        <v>0</v>
      </c>
      <c r="D401" s="382">
        <f>D402+D403</f>
        <v>0</v>
      </c>
      <c r="E401" s="381">
        <f>E402+E403</f>
        <v>0</v>
      </c>
      <c r="F401" s="54" t="str">
        <f t="shared" si="65"/>
        <v/>
      </c>
      <c r="G401" s="63" t="str">
        <f t="shared" si="66"/>
        <v/>
      </c>
      <c r="H401" s="383">
        <f>H402+H403</f>
        <v>0</v>
      </c>
      <c r="I401" s="383">
        <f>I402+I403</f>
        <v>0</v>
      </c>
      <c r="J401" s="151" t="str">
        <f t="shared" si="68"/>
        <v/>
      </c>
      <c r="K401" s="55">
        <f>SUM(H401,C401)</f>
        <v>0</v>
      </c>
      <c r="L401" s="97">
        <f>E401+I401</f>
        <v>0</v>
      </c>
      <c r="M401" s="104" t="str">
        <f t="shared" si="67"/>
        <v/>
      </c>
      <c r="N401" s="37">
        <f>SUM(C401:M401)</f>
        <v>0</v>
      </c>
    </row>
    <row r="402" spans="1:16" ht="24" hidden="1" customHeight="1" x14ac:dyDescent="0.25">
      <c r="A402" s="384" t="s">
        <v>549</v>
      </c>
      <c r="B402" s="217">
        <v>9750</v>
      </c>
      <c r="C402" s="385"/>
      <c r="D402" s="341"/>
      <c r="E402" s="385"/>
      <c r="F402" s="61" t="str">
        <f t="shared" si="65"/>
        <v/>
      </c>
      <c r="G402" s="63" t="str">
        <f t="shared" si="66"/>
        <v/>
      </c>
      <c r="H402" s="386"/>
      <c r="I402" s="386"/>
      <c r="J402" s="61" t="str">
        <f t="shared" si="68"/>
        <v/>
      </c>
      <c r="K402" s="97">
        <f>SUM(H402,C402)</f>
        <v>0</v>
      </c>
      <c r="L402" s="97">
        <f>E402+I402</f>
        <v>0</v>
      </c>
      <c r="M402" s="104" t="str">
        <f t="shared" si="67"/>
        <v/>
      </c>
      <c r="N402" s="37"/>
    </row>
    <row r="403" spans="1:16" ht="24.75" hidden="1" customHeight="1" x14ac:dyDescent="0.25">
      <c r="A403" s="387" t="s">
        <v>236</v>
      </c>
      <c r="B403" s="217">
        <v>9770</v>
      </c>
      <c r="C403" s="385"/>
      <c r="D403" s="340"/>
      <c r="E403" s="385"/>
      <c r="F403" s="61" t="str">
        <f t="shared" si="65"/>
        <v/>
      </c>
      <c r="G403" s="63" t="str">
        <f t="shared" si="66"/>
        <v/>
      </c>
      <c r="H403" s="386"/>
      <c r="I403" s="386"/>
      <c r="J403" s="61" t="str">
        <f t="shared" si="68"/>
        <v/>
      </c>
      <c r="K403" s="97">
        <f>SUM(H403,C403)</f>
        <v>0</v>
      </c>
      <c r="L403" s="97">
        <f>E403+I403</f>
        <v>0</v>
      </c>
      <c r="M403" s="104" t="str">
        <f t="shared" si="67"/>
        <v/>
      </c>
      <c r="N403" s="37"/>
    </row>
    <row r="404" spans="1:16" ht="37.5" hidden="1" customHeight="1" x14ac:dyDescent="0.25">
      <c r="A404" s="672" t="s">
        <v>550</v>
      </c>
      <c r="B404" s="653">
        <v>9800</v>
      </c>
      <c r="C404" s="388"/>
      <c r="D404" s="368"/>
      <c r="E404" s="388"/>
      <c r="F404" s="625" t="str">
        <f t="shared" si="65"/>
        <v/>
      </c>
      <c r="G404" s="63" t="str">
        <f t="shared" si="66"/>
        <v/>
      </c>
      <c r="H404" s="685"/>
      <c r="I404" s="685"/>
      <c r="J404" s="499" t="str">
        <f t="shared" si="68"/>
        <v/>
      </c>
      <c r="K404" s="265">
        <f>SUM(H404,C404)</f>
        <v>0</v>
      </c>
      <c r="L404" s="265">
        <f>E404+I404</f>
        <v>0</v>
      </c>
      <c r="M404" s="624" t="str">
        <f t="shared" si="67"/>
        <v/>
      </c>
      <c r="N404" s="37"/>
    </row>
    <row r="405" spans="1:16" s="193" customFormat="1" ht="20.25" customHeight="1" x14ac:dyDescent="0.3">
      <c r="A405" s="188" t="s">
        <v>551</v>
      </c>
      <c r="B405" s="389">
        <v>9102</v>
      </c>
      <c r="C405" s="281">
        <f>C220+C229+C230+C231+C272+C279+C280+C299+C317+C324+C334+C337+C340+C345+C392+C393+C404+C401+C323+C307</f>
        <v>3599663.1402520007</v>
      </c>
      <c r="D405" s="605">
        <f t="shared" ref="D405:E405" si="69">D220+D229+D230+D231+D272+D279+D280+D299+D317+D324+D334+D337+D340+D345+D392+D393+D404+D401+D323+D307</f>
        <v>2665878.7585600005</v>
      </c>
      <c r="E405" s="281">
        <f t="shared" si="69"/>
        <v>2607441.9900699994</v>
      </c>
      <c r="F405" s="191">
        <f t="shared" si="65"/>
        <v>0.72435722135029024</v>
      </c>
      <c r="G405" s="589">
        <f t="shared" si="66"/>
        <v>0.97807973513335378</v>
      </c>
      <c r="H405" s="281">
        <f>H220+H229+H230+H231+H272+H279+H280+H299+H317+H324+H334+H337+H340+H345+H392+H393+H307+H401+H404</f>
        <v>1295411.4998699999</v>
      </c>
      <c r="I405" s="281">
        <f>I220+I229+I230+I231+I272+I279+I280+I299+I317+I324+I334+I337+I340+I345+I392+I393+I307+I401+I404</f>
        <v>732323.14907999989</v>
      </c>
      <c r="J405" s="191">
        <f t="shared" si="68"/>
        <v>0.5653208645696689</v>
      </c>
      <c r="K405" s="563">
        <f>SUM(H405,C405)</f>
        <v>4895074.6401220001</v>
      </c>
      <c r="L405" s="563">
        <f>E405+I405</f>
        <v>3339765.1391499992</v>
      </c>
      <c r="M405" s="191">
        <f t="shared" si="67"/>
        <v>0.68227052388046161</v>
      </c>
      <c r="N405" s="26" t="e">
        <f>#N/A</f>
        <v>#N/A</v>
      </c>
      <c r="O405" s="391"/>
      <c r="P405" s="392"/>
    </row>
    <row r="406" spans="1:16" ht="13.8" hidden="1" x14ac:dyDescent="0.25">
      <c r="A406" s="725" t="s">
        <v>552</v>
      </c>
      <c r="B406" s="766">
        <v>250301</v>
      </c>
      <c r="C406" s="375"/>
      <c r="D406" s="375"/>
      <c r="E406" s="375"/>
      <c r="F406" s="737" t="str">
        <f t="shared" si="65"/>
        <v/>
      </c>
      <c r="G406" s="148" t="str">
        <f t="shared" si="66"/>
        <v/>
      </c>
      <c r="H406" s="393"/>
      <c r="I406" s="393"/>
      <c r="J406" s="504" t="str">
        <f t="shared" si="68"/>
        <v/>
      </c>
      <c r="K406" s="245">
        <f>SUM(H407,C406)</f>
        <v>0</v>
      </c>
      <c r="L406" s="245">
        <f>SUM(I407,E406)</f>
        <v>0</v>
      </c>
      <c r="M406" s="496" t="str">
        <f t="shared" si="67"/>
        <v/>
      </c>
      <c r="N406" s="37" t="e">
        <f>#N/A</f>
        <v>#N/A</v>
      </c>
    </row>
    <row r="407" spans="1:16" ht="52.8" hidden="1" x14ac:dyDescent="0.25">
      <c r="A407" s="82" t="s">
        <v>553</v>
      </c>
      <c r="B407" s="339">
        <v>250307</v>
      </c>
      <c r="C407" s="202"/>
      <c r="D407" s="202"/>
      <c r="E407" s="202"/>
      <c r="F407" s="87" t="str">
        <f t="shared" si="65"/>
        <v/>
      </c>
      <c r="G407" s="87" t="str">
        <f t="shared" si="66"/>
        <v/>
      </c>
      <c r="H407" s="340"/>
      <c r="I407" s="250"/>
      <c r="J407" s="63" t="str">
        <f t="shared" si="68"/>
        <v/>
      </c>
      <c r="K407" s="84">
        <f>SUM(H408,C407)</f>
        <v>0</v>
      </c>
      <c r="L407" s="84">
        <f>SUM(I408,E407)</f>
        <v>0</v>
      </c>
      <c r="M407" s="63" t="str">
        <f t="shared" si="67"/>
        <v/>
      </c>
      <c r="N407" s="37" t="e">
        <f>#N/A</f>
        <v>#N/A</v>
      </c>
    </row>
    <row r="408" spans="1:16" ht="26.4" hidden="1" x14ac:dyDescent="0.25">
      <c r="A408" s="82" t="s">
        <v>554</v>
      </c>
      <c r="B408" s="339">
        <v>250306</v>
      </c>
      <c r="C408" s="341"/>
      <c r="D408" s="341"/>
      <c r="E408" s="341"/>
      <c r="F408" s="87" t="str">
        <f t="shared" si="65"/>
        <v/>
      </c>
      <c r="G408" s="148" t="str">
        <f t="shared" si="66"/>
        <v/>
      </c>
      <c r="H408" s="341"/>
      <c r="I408" s="210"/>
      <c r="J408" s="148" t="str">
        <f t="shared" si="68"/>
        <v/>
      </c>
      <c r="K408" s="64" t="e">
        <f>#N/A</f>
        <v>#N/A</v>
      </c>
      <c r="L408" s="64" t="e">
        <f>#N/A</f>
        <v>#N/A</v>
      </c>
      <c r="M408" s="63" t="str">
        <f t="shared" si="67"/>
        <v/>
      </c>
      <c r="N408" s="37" t="e">
        <f>#N/A</f>
        <v>#N/A</v>
      </c>
    </row>
    <row r="409" spans="1:16" ht="18.75" hidden="1" customHeight="1" x14ac:dyDescent="0.25">
      <c r="A409" s="82" t="s">
        <v>555</v>
      </c>
      <c r="B409" s="339">
        <v>250311</v>
      </c>
      <c r="C409" s="368"/>
      <c r="D409" s="368"/>
      <c r="E409" s="368"/>
      <c r="F409" s="87" t="str">
        <f t="shared" si="65"/>
        <v/>
      </c>
      <c r="G409" s="87" t="str">
        <f t="shared" si="66"/>
        <v/>
      </c>
      <c r="H409" s="368"/>
      <c r="I409" s="394"/>
      <c r="J409" s="63" t="str">
        <f t="shared" si="68"/>
        <v/>
      </c>
      <c r="K409" s="84" t="e">
        <f>#N/A</f>
        <v>#N/A</v>
      </c>
      <c r="L409" s="84" t="e">
        <f>#N/A</f>
        <v>#N/A</v>
      </c>
      <c r="M409" s="63" t="str">
        <f t="shared" si="67"/>
        <v/>
      </c>
      <c r="N409" s="37" t="e">
        <f>#N/A</f>
        <v>#N/A</v>
      </c>
    </row>
    <row r="410" spans="1:16" ht="23.25" hidden="1" customHeight="1" x14ac:dyDescent="0.25">
      <c r="A410" s="633" t="s">
        <v>556</v>
      </c>
      <c r="B410" s="686">
        <v>9110</v>
      </c>
      <c r="C410" s="371"/>
      <c r="D410" s="325"/>
      <c r="E410" s="371"/>
      <c r="F410" s="625" t="str">
        <f t="shared" si="65"/>
        <v/>
      </c>
      <c r="G410" s="104" t="str">
        <f t="shared" si="66"/>
        <v/>
      </c>
      <c r="H410" s="687"/>
      <c r="I410" s="656"/>
      <c r="J410" s="625" t="str">
        <f t="shared" si="68"/>
        <v/>
      </c>
      <c r="K410" s="240">
        <f>SUM(C410,H410)</f>
        <v>0</v>
      </c>
      <c r="L410" s="265">
        <f>E410+I410</f>
        <v>0</v>
      </c>
      <c r="M410" s="624" t="str">
        <f t="shared" si="67"/>
        <v/>
      </c>
      <c r="N410" s="37"/>
    </row>
    <row r="411" spans="1:16" ht="32.25" customHeight="1" x14ac:dyDescent="0.25">
      <c r="A411" s="69" t="s">
        <v>557</v>
      </c>
      <c r="B411" s="395">
        <v>9700</v>
      </c>
      <c r="C411" s="34">
        <v>15955.19</v>
      </c>
      <c r="D411" s="80">
        <v>7345.2339600000005</v>
      </c>
      <c r="E411" s="34">
        <v>14027.233960000001</v>
      </c>
      <c r="F411" s="19">
        <f t="shared" si="65"/>
        <v>0.87916433210760891</v>
      </c>
      <c r="G411" s="581">
        <f t="shared" si="66"/>
        <v>1.9097055364591817</v>
      </c>
      <c r="H411" s="417">
        <v>23112.073659999998</v>
      </c>
      <c r="I411" s="35">
        <v>14600.46349</v>
      </c>
      <c r="J411" s="19">
        <f t="shared" si="68"/>
        <v>0.63172451355020476</v>
      </c>
      <c r="K411" s="35">
        <f>SUM(C411,H411)</f>
        <v>39067.263659999997</v>
      </c>
      <c r="L411" s="34">
        <f>E411+I411</f>
        <v>28627.69745</v>
      </c>
      <c r="M411" s="115">
        <f t="shared" si="67"/>
        <v>0.73277969245926966</v>
      </c>
      <c r="N411" s="37"/>
    </row>
    <row r="412" spans="1:16" ht="40.5" hidden="1" customHeight="1" x14ac:dyDescent="0.25">
      <c r="A412" s="725" t="s">
        <v>201</v>
      </c>
      <c r="B412" s="815">
        <v>250325</v>
      </c>
      <c r="C412" s="396">
        <v>0</v>
      </c>
      <c r="D412" s="396">
        <v>0</v>
      </c>
      <c r="E412" s="396">
        <v>0</v>
      </c>
      <c r="F412" s="737" t="str">
        <f t="shared" si="65"/>
        <v/>
      </c>
      <c r="G412" s="87" t="str">
        <f t="shared" si="66"/>
        <v/>
      </c>
      <c r="H412" s="816"/>
      <c r="I412" s="816"/>
      <c r="J412" s="496" t="str">
        <f t="shared" si="68"/>
        <v/>
      </c>
      <c r="K412" s="132" t="e">
        <f>#N/A</f>
        <v>#N/A</v>
      </c>
      <c r="L412" s="132" t="e">
        <f>#N/A</f>
        <v>#N/A</v>
      </c>
      <c r="M412" s="496" t="str">
        <f t="shared" si="67"/>
        <v/>
      </c>
      <c r="N412" s="37" t="e">
        <f>#N/A</f>
        <v>#N/A</v>
      </c>
    </row>
    <row r="413" spans="1:16" ht="41.25" hidden="1" customHeight="1" x14ac:dyDescent="0.25">
      <c r="A413" s="82" t="s">
        <v>558</v>
      </c>
      <c r="B413" s="339">
        <v>250326</v>
      </c>
      <c r="C413" s="232">
        <v>0</v>
      </c>
      <c r="D413" s="232">
        <v>0</v>
      </c>
      <c r="E413" s="232">
        <v>0</v>
      </c>
      <c r="F413" s="87" t="str">
        <f t="shared" si="65"/>
        <v/>
      </c>
      <c r="G413" s="87" t="str">
        <f t="shared" si="66"/>
        <v/>
      </c>
      <c r="H413" s="340"/>
      <c r="I413" s="340"/>
      <c r="J413" s="63" t="str">
        <f t="shared" si="68"/>
        <v/>
      </c>
      <c r="K413" s="84" t="e">
        <f>#N/A</f>
        <v>#N/A</v>
      </c>
      <c r="L413" s="84" t="e">
        <f>#N/A</f>
        <v>#N/A</v>
      </c>
      <c r="M413" s="63" t="str">
        <f t="shared" si="67"/>
        <v/>
      </c>
      <c r="N413" s="37" t="e">
        <f>#N/A</f>
        <v>#N/A</v>
      </c>
    </row>
    <row r="414" spans="1:16" ht="37.5" hidden="1" customHeight="1" x14ac:dyDescent="0.25">
      <c r="A414" s="82" t="s">
        <v>559</v>
      </c>
      <c r="B414" s="339">
        <v>250328</v>
      </c>
      <c r="C414" s="232">
        <v>0</v>
      </c>
      <c r="D414" s="232">
        <v>0</v>
      </c>
      <c r="E414" s="232">
        <v>0</v>
      </c>
      <c r="F414" s="87" t="str">
        <f t="shared" si="65"/>
        <v/>
      </c>
      <c r="G414" s="87" t="str">
        <f t="shared" si="66"/>
        <v/>
      </c>
      <c r="H414" s="340"/>
      <c r="I414" s="340"/>
      <c r="J414" s="63" t="str">
        <f t="shared" si="68"/>
        <v/>
      </c>
      <c r="K414" s="84" t="e">
        <f>#N/A</f>
        <v>#N/A</v>
      </c>
      <c r="L414" s="84" t="e">
        <f>#N/A</f>
        <v>#N/A</v>
      </c>
      <c r="M414" s="63" t="str">
        <f t="shared" si="67"/>
        <v/>
      </c>
      <c r="N414" s="37" t="e">
        <f>#N/A</f>
        <v>#N/A</v>
      </c>
    </row>
    <row r="415" spans="1:16" ht="31.5" hidden="1" customHeight="1" x14ac:dyDescent="0.25">
      <c r="A415" s="82" t="s">
        <v>560</v>
      </c>
      <c r="B415" s="339">
        <v>250329</v>
      </c>
      <c r="C415" s="232">
        <v>0</v>
      </c>
      <c r="D415" s="232">
        <v>0</v>
      </c>
      <c r="E415" s="232">
        <v>0</v>
      </c>
      <c r="F415" s="87" t="str">
        <f t="shared" si="65"/>
        <v/>
      </c>
      <c r="G415" s="87" t="str">
        <f t="shared" si="66"/>
        <v/>
      </c>
      <c r="H415" s="340"/>
      <c r="I415" s="340"/>
      <c r="J415" s="63" t="str">
        <f t="shared" si="68"/>
        <v/>
      </c>
      <c r="K415" s="84" t="e">
        <f>#N/A</f>
        <v>#N/A</v>
      </c>
      <c r="L415" s="84" t="e">
        <f>#N/A</f>
        <v>#N/A</v>
      </c>
      <c r="M415" s="63" t="str">
        <f t="shared" si="67"/>
        <v/>
      </c>
      <c r="N415" s="37" t="e">
        <f>#N/A</f>
        <v>#N/A</v>
      </c>
    </row>
    <row r="416" spans="1:16" ht="23.25" hidden="1" customHeight="1" x14ac:dyDescent="0.25">
      <c r="A416" s="82" t="s">
        <v>561</v>
      </c>
      <c r="B416" s="339">
        <v>250344</v>
      </c>
      <c r="C416" s="232">
        <v>0</v>
      </c>
      <c r="D416" s="232">
        <v>0</v>
      </c>
      <c r="E416" s="232">
        <v>0</v>
      </c>
      <c r="F416" s="397" t="str">
        <f t="shared" si="65"/>
        <v/>
      </c>
      <c r="G416" s="93" t="str">
        <f t="shared" si="66"/>
        <v/>
      </c>
      <c r="H416" s="341"/>
      <c r="I416" s="341"/>
      <c r="J416" s="63" t="str">
        <f t="shared" si="68"/>
        <v/>
      </c>
      <c r="K416" s="64" t="e">
        <f>#N/A</f>
        <v>#N/A</v>
      </c>
      <c r="L416" s="64" t="e">
        <f>#N/A</f>
        <v>#N/A</v>
      </c>
      <c r="M416" s="63" t="str">
        <f t="shared" si="67"/>
        <v/>
      </c>
      <c r="N416" s="37" t="e">
        <f>#N/A</f>
        <v>#N/A</v>
      </c>
    </row>
    <row r="417" spans="1:24" ht="21.75" hidden="1" customHeight="1" x14ac:dyDescent="0.25">
      <c r="A417" s="100" t="s">
        <v>562</v>
      </c>
      <c r="B417" s="339">
        <v>250335</v>
      </c>
      <c r="C417" s="232">
        <v>0</v>
      </c>
      <c r="D417" s="232">
        <v>0</v>
      </c>
      <c r="E417" s="232">
        <v>0</v>
      </c>
      <c r="F417" s="87" t="str">
        <f t="shared" si="65"/>
        <v/>
      </c>
      <c r="G417" s="87" t="str">
        <f t="shared" si="66"/>
        <v/>
      </c>
      <c r="H417" s="340"/>
      <c r="I417" s="340"/>
      <c r="J417" s="63" t="str">
        <f t="shared" si="68"/>
        <v/>
      </c>
      <c r="K417" s="84" t="e">
        <f>#N/A</f>
        <v>#N/A</v>
      </c>
      <c r="L417" s="84" t="e">
        <f>#N/A</f>
        <v>#N/A</v>
      </c>
      <c r="M417" s="63" t="str">
        <f t="shared" si="67"/>
        <v/>
      </c>
      <c r="N417" s="37" t="e">
        <f>#N/A</f>
        <v>#N/A</v>
      </c>
    </row>
    <row r="418" spans="1:24" ht="19.5" hidden="1" customHeight="1" x14ac:dyDescent="0.25">
      <c r="A418" s="622" t="s">
        <v>563</v>
      </c>
      <c r="B418" s="686">
        <v>250360</v>
      </c>
      <c r="C418" s="242">
        <v>0</v>
      </c>
      <c r="D418" s="242">
        <v>0</v>
      </c>
      <c r="E418" s="242">
        <v>0</v>
      </c>
      <c r="F418" s="635" t="str">
        <f t="shared" si="65"/>
        <v/>
      </c>
      <c r="G418" s="87" t="str">
        <f t="shared" si="66"/>
        <v/>
      </c>
      <c r="H418" s="368"/>
      <c r="I418" s="368"/>
      <c r="J418" s="499" t="str">
        <f t="shared" si="68"/>
        <v/>
      </c>
      <c r="K418" s="216"/>
      <c r="L418" s="216"/>
      <c r="M418" s="499" t="str">
        <f t="shared" si="67"/>
        <v/>
      </c>
      <c r="N418" s="37"/>
    </row>
    <row r="419" spans="1:24" ht="30" customHeight="1" x14ac:dyDescent="0.25">
      <c r="A419" s="69" t="s">
        <v>550</v>
      </c>
      <c r="B419" s="398">
        <v>9800</v>
      </c>
      <c r="C419" s="34">
        <v>47668.072090000031</v>
      </c>
      <c r="D419" s="80">
        <v>42626.072090000031</v>
      </c>
      <c r="E419" s="34">
        <v>42626.072090000001</v>
      </c>
      <c r="F419" s="19">
        <f t="shared" si="65"/>
        <v>0.89422689488090801</v>
      </c>
      <c r="G419" s="581">
        <f t="shared" si="66"/>
        <v>0.99999999999999933</v>
      </c>
      <c r="H419" s="35">
        <v>167111.03490999999</v>
      </c>
      <c r="I419" s="35">
        <v>126885.57890000001</v>
      </c>
      <c r="J419" s="19">
        <f t="shared" si="68"/>
        <v>0.75928904975267508</v>
      </c>
      <c r="K419" s="35">
        <f>SUM(H419,C419)</f>
        <v>214779.10700000002</v>
      </c>
      <c r="L419" s="34">
        <f>E419+I419</f>
        <v>169511.65098999999</v>
      </c>
      <c r="M419" s="115">
        <f t="shared" si="67"/>
        <v>0.78923715326742638</v>
      </c>
      <c r="N419" s="37">
        <f>SUM(C419:M419)</f>
        <v>811211.03082309803</v>
      </c>
    </row>
    <row r="420" spans="1:24" ht="18.75" hidden="1" customHeight="1" x14ac:dyDescent="0.25">
      <c r="A420" s="817" t="s">
        <v>564</v>
      </c>
      <c r="B420" s="818">
        <v>9820</v>
      </c>
      <c r="C420" s="399">
        <v>0</v>
      </c>
      <c r="D420" s="399">
        <v>0</v>
      </c>
      <c r="E420" s="399">
        <v>0</v>
      </c>
      <c r="F420" s="759"/>
      <c r="G420" s="255" t="str">
        <f t="shared" si="66"/>
        <v/>
      </c>
      <c r="H420" s="819"/>
      <c r="I420" s="819">
        <v>0</v>
      </c>
      <c r="J420" s="820" t="str">
        <f t="shared" si="68"/>
        <v/>
      </c>
      <c r="K420" s="227">
        <f>SUM(H420,C420)</f>
        <v>0</v>
      </c>
      <c r="L420" s="778">
        <f>E420+I420</f>
        <v>0</v>
      </c>
      <c r="M420" s="764" t="str">
        <f t="shared" si="67"/>
        <v/>
      </c>
      <c r="N420" s="37"/>
    </row>
    <row r="421" spans="1:24" ht="12" hidden="1" customHeight="1" x14ac:dyDescent="0.25">
      <c r="A421" s="673" t="s">
        <v>565</v>
      </c>
      <c r="B421" s="688">
        <v>8800</v>
      </c>
      <c r="C421" s="400"/>
      <c r="D421" s="400"/>
      <c r="E421" s="400"/>
      <c r="F421" s="654"/>
      <c r="G421" s="255" t="str">
        <f t="shared" si="66"/>
        <v/>
      </c>
      <c r="H421" s="400"/>
      <c r="I421" s="400"/>
      <c r="J421" s="654" t="str">
        <f t="shared" si="68"/>
        <v/>
      </c>
      <c r="K421" s="244">
        <f>SUM(H421,C421)</f>
        <v>0</v>
      </c>
      <c r="L421" s="244">
        <f>SUM(I421,E421)</f>
        <v>0</v>
      </c>
      <c r="M421" s="499" t="str">
        <f t="shared" si="67"/>
        <v/>
      </c>
      <c r="N421" s="37"/>
    </row>
    <row r="422" spans="1:24" s="273" customFormat="1" ht="23.25" customHeight="1" x14ac:dyDescent="0.25">
      <c r="A422" s="269" t="s">
        <v>566</v>
      </c>
      <c r="B422" s="269">
        <v>900202</v>
      </c>
      <c r="C422" s="390">
        <f>SUM(C405:C420)</f>
        <v>3663286.4023420005</v>
      </c>
      <c r="D422" s="605">
        <f>SUM(D405:D420)</f>
        <v>2715850.0646100002</v>
      </c>
      <c r="E422" s="390">
        <f>SUM(E405:E420)</f>
        <v>2664095.2961199991</v>
      </c>
      <c r="F422" s="191">
        <f>IFERROR(E422/C422,"")</f>
        <v>0.72724188161122161</v>
      </c>
      <c r="G422" s="596">
        <f t="shared" si="66"/>
        <v>0.98094343676611129</v>
      </c>
      <c r="H422" s="390">
        <f>SUM(H405:H420)</f>
        <v>1485634.6084399999</v>
      </c>
      <c r="I422" s="390">
        <f>SUM(I405:I421)</f>
        <v>873809.19146999985</v>
      </c>
      <c r="J422" s="271">
        <f t="shared" si="68"/>
        <v>0.58817234500719451</v>
      </c>
      <c r="K422" s="190">
        <f>SUM(H422,C422)</f>
        <v>5148921.0107820006</v>
      </c>
      <c r="L422" s="563">
        <f t="shared" ref="L422:L434" si="70">E422+I422</f>
        <v>3537904.4875899991</v>
      </c>
      <c r="M422" s="191">
        <f t="shared" si="67"/>
        <v>0.68711570447119252</v>
      </c>
      <c r="N422" s="37">
        <f>SUM(C422:M422)</f>
        <v>20089504.044827364</v>
      </c>
      <c r="O422" s="401"/>
      <c r="P422" s="402"/>
    </row>
    <row r="423" spans="1:24" ht="15.6" hidden="1" x14ac:dyDescent="0.25">
      <c r="A423" s="716" t="s">
        <v>567</v>
      </c>
      <c r="B423" s="821"/>
      <c r="C423" s="822"/>
      <c r="D423" s="403"/>
      <c r="E423" s="822"/>
      <c r="F423" s="728"/>
      <c r="G423" s="54" t="str">
        <f t="shared" si="66"/>
        <v/>
      </c>
      <c r="H423" s="822"/>
      <c r="I423" s="822"/>
      <c r="J423" s="728" t="str">
        <f t="shared" si="68"/>
        <v/>
      </c>
      <c r="K423" s="223"/>
      <c r="L423" s="729">
        <f t="shared" si="70"/>
        <v>0</v>
      </c>
      <c r="M423" s="744" t="str">
        <f t="shared" si="67"/>
        <v/>
      </c>
      <c r="N423" s="37">
        <v>10</v>
      </c>
    </row>
    <row r="424" spans="1:24" s="171" customFormat="1" ht="13.8" x14ac:dyDescent="0.25">
      <c r="A424" s="404" t="s">
        <v>568</v>
      </c>
      <c r="B424" s="404">
        <v>2000</v>
      </c>
      <c r="C424" s="405">
        <f>C425+C429+C446+C448+C451+C455</f>
        <v>3661938.4623419996</v>
      </c>
      <c r="D424" s="606">
        <f>D425+D429+D446+D448+D451+D455</f>
        <v>2715850.0646100002</v>
      </c>
      <c r="E424" s="405">
        <f>E425+E429+E446+E448+E451+E455</f>
        <v>2664095.2961200005</v>
      </c>
      <c r="F424" s="25">
        <f t="shared" ref="F424:F434" si="71">E424/C424</f>
        <v>0.72750957546571482</v>
      </c>
      <c r="G424" s="587">
        <f t="shared" si="66"/>
        <v>0.98094343676611184</v>
      </c>
      <c r="H424" s="405">
        <f>H425+H429+H446+H448+H451+H455</f>
        <v>143557.46630000003</v>
      </c>
      <c r="I424" s="405">
        <f>I425+I429+I446+I448+I451+I455</f>
        <v>78172.100189999997</v>
      </c>
      <c r="J424" s="25">
        <f t="shared" si="68"/>
        <v>0.54453524574360634</v>
      </c>
      <c r="K424" s="405">
        <f>K425+K429+K446+K448+K451+K455</f>
        <v>3805495.9286420001</v>
      </c>
      <c r="L424" s="23">
        <f t="shared" si="70"/>
        <v>2742267.3963100007</v>
      </c>
      <c r="M424" s="25">
        <f t="shared" si="67"/>
        <v>0.72060710291932573</v>
      </c>
      <c r="N424" s="37" t="e">
        <f>#N/A</f>
        <v>#N/A</v>
      </c>
      <c r="O424" s="407"/>
      <c r="P424" s="38"/>
      <c r="Q424" s="408">
        <v>1675155605.3499999</v>
      </c>
      <c r="R424" s="409">
        <v>1277875985.6500001</v>
      </c>
      <c r="S424" s="409">
        <v>78142852.219999999</v>
      </c>
      <c r="T424" s="410">
        <v>52435487.990000002</v>
      </c>
      <c r="U424" s="411"/>
      <c r="V424" s="411"/>
      <c r="W424" s="411"/>
      <c r="X424" s="411"/>
    </row>
    <row r="425" spans="1:24" s="32" customFormat="1" ht="13.8" x14ac:dyDescent="0.25">
      <c r="A425" s="28" t="s">
        <v>569</v>
      </c>
      <c r="B425" s="299">
        <v>2100</v>
      </c>
      <c r="C425" s="405">
        <f>C426+C428</f>
        <v>1964515.0849999997</v>
      </c>
      <c r="D425" s="606">
        <f>D426+D428</f>
        <v>1462198.76929</v>
      </c>
      <c r="E425" s="405">
        <f>E426+E428</f>
        <v>1454942.0324700002</v>
      </c>
      <c r="F425" s="25">
        <f t="shared" si="71"/>
        <v>0.74061128040154522</v>
      </c>
      <c r="G425" s="587">
        <f t="shared" si="66"/>
        <v>0.99503710646431232</v>
      </c>
      <c r="H425" s="405">
        <f>H426+H428</f>
        <v>27332.068859999999</v>
      </c>
      <c r="I425" s="405">
        <f>I426+I428</f>
        <v>20835.308989999998</v>
      </c>
      <c r="J425" s="25">
        <f t="shared" si="68"/>
        <v>0.76230266712418926</v>
      </c>
      <c r="K425" s="405">
        <f>K426+K428</f>
        <v>1991847.1538599997</v>
      </c>
      <c r="L425" s="23">
        <f t="shared" si="70"/>
        <v>1475777.3414600003</v>
      </c>
      <c r="M425" s="25">
        <f t="shared" si="67"/>
        <v>0.7409089289808668</v>
      </c>
      <c r="N425" s="37" t="e">
        <f>#N/A</f>
        <v>#N/A</v>
      </c>
      <c r="P425" s="412"/>
      <c r="Q425" s="412"/>
    </row>
    <row r="426" spans="1:24" ht="13.8" x14ac:dyDescent="0.25">
      <c r="A426" s="69" t="s">
        <v>570</v>
      </c>
      <c r="B426" s="398">
        <v>2110</v>
      </c>
      <c r="C426" s="34">
        <v>1622473.4740799998</v>
      </c>
      <c r="D426" s="80">
        <v>1209586.497</v>
      </c>
      <c r="E426" s="34">
        <v>1209089.8812800003</v>
      </c>
      <c r="F426" s="19">
        <f t="shared" si="71"/>
        <v>0.74521395917772848</v>
      </c>
      <c r="G426" s="583">
        <f t="shared" si="66"/>
        <v>0.9995894334789357</v>
      </c>
      <c r="H426" s="561">
        <v>22372.641159999999</v>
      </c>
      <c r="I426" s="561">
        <v>17304.802629999998</v>
      </c>
      <c r="J426" s="19">
        <f t="shared" si="68"/>
        <v>0.77348054287569856</v>
      </c>
      <c r="K426" s="35">
        <f>SUM(H426,C426)</f>
        <v>1644846.1152399997</v>
      </c>
      <c r="L426" s="34">
        <f t="shared" si="70"/>
        <v>1226394.6839100004</v>
      </c>
      <c r="M426" s="115">
        <f t="shared" si="67"/>
        <v>0.74559843169952522</v>
      </c>
      <c r="N426" s="37" t="e">
        <f>#N/A</f>
        <v>#N/A</v>
      </c>
      <c r="P426" s="413"/>
      <c r="Q426" s="413"/>
    </row>
    <row r="427" spans="1:24" ht="13.8" x14ac:dyDescent="0.25">
      <c r="A427" s="69" t="s">
        <v>571</v>
      </c>
      <c r="B427" s="398">
        <v>2111</v>
      </c>
      <c r="C427" s="34">
        <v>1622473.4740799998</v>
      </c>
      <c r="D427" s="80">
        <v>1209586.497</v>
      </c>
      <c r="E427" s="34">
        <v>1209089.8812800003</v>
      </c>
      <c r="F427" s="19">
        <f t="shared" si="71"/>
        <v>0.74521395917772848</v>
      </c>
      <c r="G427" s="583">
        <f t="shared" si="66"/>
        <v>0.9995894334789357</v>
      </c>
      <c r="H427" s="561">
        <v>22372.641159999999</v>
      </c>
      <c r="I427" s="34">
        <v>17304.802629999998</v>
      </c>
      <c r="J427" s="19">
        <f t="shared" si="68"/>
        <v>0.77348054287569856</v>
      </c>
      <c r="K427" s="35">
        <f>SUM(H427,C427)</f>
        <v>1644846.1152399997</v>
      </c>
      <c r="L427" s="34">
        <f t="shared" si="70"/>
        <v>1226394.6839100004</v>
      </c>
      <c r="M427" s="115">
        <f t="shared" si="67"/>
        <v>0.74559843169952522</v>
      </c>
      <c r="N427" s="37" t="e">
        <f>#N/A</f>
        <v>#N/A</v>
      </c>
      <c r="P427" s="413"/>
      <c r="Q427" s="413"/>
    </row>
    <row r="428" spans="1:24" ht="13.8" x14ac:dyDescent="0.25">
      <c r="A428" s="41" t="s">
        <v>572</v>
      </c>
      <c r="B428" s="395">
        <v>2120</v>
      </c>
      <c r="C428" s="34">
        <v>342041.61091999995</v>
      </c>
      <c r="D428" s="80">
        <v>252612.27228999999</v>
      </c>
      <c r="E428" s="34">
        <v>245852.15118999995</v>
      </c>
      <c r="F428" s="19">
        <f t="shared" si="71"/>
        <v>0.7187784858360472</v>
      </c>
      <c r="G428" s="583">
        <f t="shared" si="66"/>
        <v>0.97323914218926233</v>
      </c>
      <c r="H428" s="34">
        <v>4959.4277000000002</v>
      </c>
      <c r="I428" s="34">
        <v>3530.5063599999999</v>
      </c>
      <c r="J428" s="19">
        <f t="shared" si="68"/>
        <v>0.71187777573609945</v>
      </c>
      <c r="K428" s="35">
        <f>SUM(H428,C428)</f>
        <v>347001.03861999995</v>
      </c>
      <c r="L428" s="34">
        <f t="shared" si="70"/>
        <v>249382.65754999995</v>
      </c>
      <c r="M428" s="115">
        <f t="shared" si="67"/>
        <v>0.71867985912024412</v>
      </c>
      <c r="N428" s="37" t="e">
        <f>#N/A</f>
        <v>#N/A</v>
      </c>
      <c r="P428" s="413"/>
      <c r="Q428" s="413"/>
    </row>
    <row r="429" spans="1:24" s="32" customFormat="1" ht="13.8" x14ac:dyDescent="0.25">
      <c r="A429" s="414" t="s">
        <v>573</v>
      </c>
      <c r="B429" s="299">
        <v>2200</v>
      </c>
      <c r="C429" s="405">
        <f>C430+C431+C432+C433+C434+C437+C443</f>
        <v>847712.93160000001</v>
      </c>
      <c r="D429" s="606">
        <f>D430+D431+D432+D433+D434+D437+D443</f>
        <v>608062.78759999992</v>
      </c>
      <c r="E429" s="405">
        <f>E430+E431+E432+E433+E434+E437+E443</f>
        <v>553020.95857000002</v>
      </c>
      <c r="F429" s="25">
        <f t="shared" si="71"/>
        <v>0.65236819913341526</v>
      </c>
      <c r="G429" s="580">
        <f t="shared" si="66"/>
        <v>0.90948002385206328</v>
      </c>
      <c r="H429" s="405">
        <f>H430+H431+H432+H433+H434+H437+H443</f>
        <v>115695.98917</v>
      </c>
      <c r="I429" s="405">
        <f>I430+I431+I432+I433+I434+I437+I443</f>
        <v>57092.085189999998</v>
      </c>
      <c r="J429" s="25">
        <f t="shared" si="68"/>
        <v>0.49346641659384327</v>
      </c>
      <c r="K429" s="405">
        <f>K430+K431+K432+K433+K434+K437+K443</f>
        <v>963408.92076999997</v>
      </c>
      <c r="L429" s="23">
        <f t="shared" si="70"/>
        <v>610113.04376000003</v>
      </c>
      <c r="M429" s="25">
        <f t="shared" si="67"/>
        <v>0.63328564912225449</v>
      </c>
      <c r="N429" s="37" t="e">
        <f>#N/A</f>
        <v>#N/A</v>
      </c>
      <c r="P429" s="412"/>
      <c r="Q429" s="412"/>
    </row>
    <row r="430" spans="1:24" ht="13.8" x14ac:dyDescent="0.25">
      <c r="A430" s="69" t="s">
        <v>574</v>
      </c>
      <c r="B430" s="398">
        <v>2210</v>
      </c>
      <c r="C430" s="34">
        <v>62411.188989999995</v>
      </c>
      <c r="D430" s="80">
        <v>44521.507579999998</v>
      </c>
      <c r="E430" s="34">
        <v>23199.387890000005</v>
      </c>
      <c r="F430" s="19">
        <f>E430/C430</f>
        <v>0.37171840923776012</v>
      </c>
      <c r="G430" s="583">
        <f>IFERROR(E430/D430,"")</f>
        <v>0.5210827115032749</v>
      </c>
      <c r="H430" s="34">
        <v>16226.485720000001</v>
      </c>
      <c r="I430" s="34">
        <v>12206.18377</v>
      </c>
      <c r="J430" s="19">
        <f t="shared" si="68"/>
        <v>0.75223828379272739</v>
      </c>
      <c r="K430" s="35">
        <f>SUM(H430,C430)</f>
        <v>78637.674709999992</v>
      </c>
      <c r="L430" s="34">
        <f>E430+I430</f>
        <v>35405.571660000001</v>
      </c>
      <c r="M430" s="115">
        <f t="shared" si="67"/>
        <v>0.45023675726130846</v>
      </c>
      <c r="N430" s="37" t="e">
        <f>#N/A</f>
        <v>#N/A</v>
      </c>
      <c r="P430" s="413"/>
      <c r="Q430" s="413"/>
    </row>
    <row r="431" spans="1:24" ht="13.8" x14ac:dyDescent="0.25">
      <c r="A431" s="69" t="s">
        <v>575</v>
      </c>
      <c r="B431" s="398">
        <v>2220</v>
      </c>
      <c r="C431" s="34">
        <v>401.67700000000002</v>
      </c>
      <c r="D431" s="80">
        <v>397.67700000000002</v>
      </c>
      <c r="E431" s="34">
        <v>70.365809999999996</v>
      </c>
      <c r="F431" s="19">
        <f t="shared" si="71"/>
        <v>0.17518008250410153</v>
      </c>
      <c r="G431" s="583">
        <f t="shared" si="66"/>
        <v>0.1769421163406483</v>
      </c>
      <c r="H431" s="34">
        <v>165.13200000000001</v>
      </c>
      <c r="I431" s="34">
        <v>124.32202000000001</v>
      </c>
      <c r="J431" s="19">
        <f t="shared" si="68"/>
        <v>0.75286449628176255</v>
      </c>
      <c r="K431" s="35">
        <f>SUM(H431,C431)</f>
        <v>566.80899999999997</v>
      </c>
      <c r="L431" s="34">
        <f t="shared" si="70"/>
        <v>194.68783000000002</v>
      </c>
      <c r="M431" s="115">
        <f t="shared" si="67"/>
        <v>0.34348048460768976</v>
      </c>
      <c r="N431" s="37" t="e">
        <f>#N/A</f>
        <v>#N/A</v>
      </c>
      <c r="P431" s="413"/>
      <c r="Q431" s="413"/>
    </row>
    <row r="432" spans="1:24" ht="13.8" x14ac:dyDescent="0.25">
      <c r="A432" s="69" t="s">
        <v>576</v>
      </c>
      <c r="B432" s="398">
        <v>2230</v>
      </c>
      <c r="C432" s="34">
        <v>204063.356</v>
      </c>
      <c r="D432" s="80">
        <v>139906.28469999999</v>
      </c>
      <c r="E432" s="34">
        <v>137572.58555999998</v>
      </c>
      <c r="F432" s="19">
        <f t="shared" si="71"/>
        <v>0.67416604458862261</v>
      </c>
      <c r="G432" s="583">
        <f t="shared" si="66"/>
        <v>0.9833195546218374</v>
      </c>
      <c r="H432" s="34">
        <v>66522.299599999998</v>
      </c>
      <c r="I432" s="34">
        <v>31566.91546</v>
      </c>
      <c r="J432" s="19">
        <f t="shared" si="68"/>
        <v>0.47453133234738626</v>
      </c>
      <c r="K432" s="35">
        <f>SUM(H432,C432)</f>
        <v>270585.6556</v>
      </c>
      <c r="L432" s="34">
        <f t="shared" si="70"/>
        <v>169139.50101999997</v>
      </c>
      <c r="M432" s="115">
        <f t="shared" si="67"/>
        <v>0.62508672399853549</v>
      </c>
      <c r="N432" s="37" t="e">
        <f>#N/A</f>
        <v>#N/A</v>
      </c>
      <c r="P432" s="413"/>
      <c r="Q432" s="413"/>
    </row>
    <row r="433" spans="1:17" ht="13.8" x14ac:dyDescent="0.25">
      <c r="A433" s="69" t="s">
        <v>577</v>
      </c>
      <c r="B433" s="398">
        <v>2240</v>
      </c>
      <c r="C433" s="34">
        <v>301509.16472</v>
      </c>
      <c r="D433" s="80">
        <v>247156.30747000003</v>
      </c>
      <c r="E433" s="34">
        <v>237285.13923</v>
      </c>
      <c r="F433" s="19">
        <f t="shared" si="71"/>
        <v>0.78699146492066874</v>
      </c>
      <c r="G433" s="583">
        <f>IFERROR(E433/D433,"")</f>
        <v>0.96006103044245317</v>
      </c>
      <c r="H433" s="34">
        <v>17661.977930000001</v>
      </c>
      <c r="I433" s="34">
        <v>10246.90324</v>
      </c>
      <c r="J433" s="19">
        <f t="shared" si="68"/>
        <v>0.58016736747218889</v>
      </c>
      <c r="K433" s="35">
        <f>SUM(H433,C433)</f>
        <v>319171.14264999999</v>
      </c>
      <c r="L433" s="34">
        <f t="shared" si="70"/>
        <v>247532.04246999999</v>
      </c>
      <c r="M433" s="115">
        <f t="shared" si="67"/>
        <v>0.77554643698299897</v>
      </c>
      <c r="N433" s="37" t="e">
        <f>#N/A</f>
        <v>#N/A</v>
      </c>
      <c r="P433" s="413"/>
      <c r="Q433" s="413"/>
    </row>
    <row r="434" spans="1:17" ht="13.8" x14ac:dyDescent="0.25">
      <c r="A434" s="415" t="s">
        <v>578</v>
      </c>
      <c r="B434" s="398">
        <v>2250</v>
      </c>
      <c r="C434" s="34">
        <v>984.14</v>
      </c>
      <c r="D434" s="80">
        <v>882.86099999999999</v>
      </c>
      <c r="E434" s="34">
        <v>640.81777</v>
      </c>
      <c r="F434" s="19">
        <f t="shared" si="71"/>
        <v>0.65114492856707384</v>
      </c>
      <c r="G434" s="583">
        <f t="shared" si="66"/>
        <v>0.72584219939492178</v>
      </c>
      <c r="H434" s="34">
        <v>272.61215000000004</v>
      </c>
      <c r="I434" s="34">
        <v>134.23227</v>
      </c>
      <c r="J434" s="19">
        <f t="shared" si="68"/>
        <v>0.49239283722313909</v>
      </c>
      <c r="K434" s="35">
        <f>SUM(H434,C434)</f>
        <v>1256.75215</v>
      </c>
      <c r="L434" s="34">
        <f t="shared" si="70"/>
        <v>775.05003999999997</v>
      </c>
      <c r="M434" s="115">
        <f t="shared" si="67"/>
        <v>0.61670874404312737</v>
      </c>
      <c r="N434" s="37" t="e">
        <f>#N/A</f>
        <v>#N/A</v>
      </c>
      <c r="P434" s="413"/>
      <c r="Q434" s="413"/>
    </row>
    <row r="435" spans="1:17" ht="18.75" hidden="1" customHeight="1" x14ac:dyDescent="0.25">
      <c r="A435" s="725" t="s">
        <v>578</v>
      </c>
      <c r="B435" s="815">
        <v>1140</v>
      </c>
      <c r="C435" s="375"/>
      <c r="D435" s="375"/>
      <c r="E435" s="375">
        <v>423.6617</v>
      </c>
      <c r="F435" s="496" t="e">
        <f>#N/A</f>
        <v>#N/A</v>
      </c>
      <c r="G435" s="63" t="str">
        <f t="shared" si="66"/>
        <v/>
      </c>
      <c r="H435" s="375"/>
      <c r="I435" s="375"/>
      <c r="J435" s="496" t="str">
        <f t="shared" si="68"/>
        <v/>
      </c>
      <c r="K435" s="245" t="e">
        <f>#N/A</f>
        <v>#N/A</v>
      </c>
      <c r="L435" s="245" t="e">
        <f>#N/A</f>
        <v>#N/A</v>
      </c>
      <c r="M435" s="496" t="str">
        <f t="shared" si="67"/>
        <v/>
      </c>
      <c r="N435" s="37" t="e">
        <f>#N/A</f>
        <v>#N/A</v>
      </c>
      <c r="P435" s="8">
        <v>482.48622999999998</v>
      </c>
      <c r="Q435" s="8">
        <v>144.07964999999999</v>
      </c>
    </row>
    <row r="436" spans="1:17" ht="16.5" hidden="1" customHeight="1" x14ac:dyDescent="0.25">
      <c r="A436" s="633" t="s">
        <v>579</v>
      </c>
      <c r="B436" s="686">
        <v>1150</v>
      </c>
      <c r="C436" s="368"/>
      <c r="D436" s="368"/>
      <c r="E436" s="368"/>
      <c r="F436" s="499"/>
      <c r="G436" s="63" t="str">
        <f t="shared" si="66"/>
        <v/>
      </c>
      <c r="H436" s="368"/>
      <c r="I436" s="368"/>
      <c r="J436" s="499" t="str">
        <f t="shared" si="68"/>
        <v/>
      </c>
      <c r="K436" s="216" t="e">
        <f>#N/A</f>
        <v>#N/A</v>
      </c>
      <c r="L436" s="216" t="e">
        <f>#N/A</f>
        <v>#N/A</v>
      </c>
      <c r="M436" s="499" t="str">
        <f t="shared" si="67"/>
        <v/>
      </c>
      <c r="N436" s="37" t="e">
        <f>#N/A</f>
        <v>#N/A</v>
      </c>
      <c r="P436" s="8">
        <v>56197.233930000002</v>
      </c>
      <c r="Q436" s="8">
        <v>2550.2018499999999</v>
      </c>
    </row>
    <row r="437" spans="1:17" ht="13.8" x14ac:dyDescent="0.25">
      <c r="A437" s="41" t="s">
        <v>580</v>
      </c>
      <c r="B437" s="395">
        <v>2270</v>
      </c>
      <c r="C437" s="34">
        <v>257230.37057</v>
      </c>
      <c r="D437" s="80">
        <v>156364.81182</v>
      </c>
      <c r="E437" s="34">
        <v>136433.34610000002</v>
      </c>
      <c r="F437" s="19">
        <f t="shared" ref="F437:F451" si="72">E437/C437</f>
        <v>0.5303936148662215</v>
      </c>
      <c r="G437" s="583">
        <f t="shared" si="66"/>
        <v>0.87253228211636158</v>
      </c>
      <c r="H437" s="303">
        <v>13142.19824</v>
      </c>
      <c r="I437" s="303">
        <v>2054.7993899999997</v>
      </c>
      <c r="J437" s="19">
        <f t="shared" si="68"/>
        <v>0.15635127034881796</v>
      </c>
      <c r="K437" s="35">
        <f t="shared" ref="K437:K458" si="73">SUM(H437,C437)</f>
        <v>270372.56881000003</v>
      </c>
      <c r="L437" s="34">
        <f t="shared" ref="L437:L458" si="74">E437+I437</f>
        <v>138488.14549000002</v>
      </c>
      <c r="M437" s="115">
        <f t="shared" si="67"/>
        <v>0.51221226361658134</v>
      </c>
      <c r="N437" s="37" t="e">
        <f>#N/A</f>
        <v>#N/A</v>
      </c>
      <c r="P437" s="413"/>
      <c r="Q437" s="413"/>
    </row>
    <row r="438" spans="1:17" ht="13.8" x14ac:dyDescent="0.25">
      <c r="A438" s="69" t="s">
        <v>581</v>
      </c>
      <c r="B438" s="398">
        <v>2271</v>
      </c>
      <c r="C438" s="34">
        <v>164843.36894999997</v>
      </c>
      <c r="D438" s="80">
        <v>88898.311199999982</v>
      </c>
      <c r="E438" s="34">
        <v>78710.247730000017</v>
      </c>
      <c r="F438" s="19">
        <f>E438/C438</f>
        <v>0.47748507101838161</v>
      </c>
      <c r="G438" s="583">
        <f t="shared" si="66"/>
        <v>0.88539643405509405</v>
      </c>
      <c r="H438" s="34">
        <v>2734.42589</v>
      </c>
      <c r="I438" s="34">
        <v>458.51182</v>
      </c>
      <c r="J438" s="19">
        <f t="shared" si="68"/>
        <v>0.16768120199447059</v>
      </c>
      <c r="K438" s="35">
        <f>SUM(H438,C438)</f>
        <v>167577.79483999999</v>
      </c>
      <c r="L438" s="34">
        <f t="shared" si="74"/>
        <v>79168.759550000017</v>
      </c>
      <c r="M438" s="115">
        <f t="shared" si="67"/>
        <v>0.47242989219179549</v>
      </c>
      <c r="N438" s="37" t="e">
        <f>#N/A</f>
        <v>#N/A</v>
      </c>
      <c r="P438" s="413"/>
      <c r="Q438" s="413"/>
    </row>
    <row r="439" spans="1:17" ht="13.8" x14ac:dyDescent="0.25">
      <c r="A439" s="41" t="s">
        <v>582</v>
      </c>
      <c r="B439" s="395">
        <v>2272</v>
      </c>
      <c r="C439" s="34">
        <v>9907.9959699999999</v>
      </c>
      <c r="D439" s="80">
        <v>7451.6239700000006</v>
      </c>
      <c r="E439" s="34">
        <v>6628.5095300000003</v>
      </c>
      <c r="F439" s="19">
        <f t="shared" si="72"/>
        <v>0.6690060785319436</v>
      </c>
      <c r="G439" s="583">
        <f t="shared" si="66"/>
        <v>0.88953891885663683</v>
      </c>
      <c r="H439" s="34">
        <v>1113.3189399999999</v>
      </c>
      <c r="I439" s="34">
        <v>156.29046</v>
      </c>
      <c r="J439" s="19">
        <f t="shared" si="68"/>
        <v>0.14038246757932638</v>
      </c>
      <c r="K439" s="35">
        <f t="shared" si="73"/>
        <v>11021.314909999999</v>
      </c>
      <c r="L439" s="34">
        <f t="shared" si="74"/>
        <v>6784.7999900000004</v>
      </c>
      <c r="M439" s="115">
        <f t="shared" si="67"/>
        <v>0.61560712541149964</v>
      </c>
      <c r="N439" s="37" t="e">
        <f>#N/A</f>
        <v>#N/A</v>
      </c>
      <c r="P439" s="413"/>
      <c r="Q439" s="413"/>
    </row>
    <row r="440" spans="1:17" ht="13.8" x14ac:dyDescent="0.25">
      <c r="A440" s="41" t="s">
        <v>583</v>
      </c>
      <c r="B440" s="395">
        <v>2273</v>
      </c>
      <c r="C440" s="34">
        <v>79035.844959999988</v>
      </c>
      <c r="D440" s="80">
        <v>57700.258959999999</v>
      </c>
      <c r="E440" s="34">
        <v>49178.891239999997</v>
      </c>
      <c r="F440" s="19">
        <f t="shared" si="72"/>
        <v>0.62223528153446594</v>
      </c>
      <c r="G440" s="583">
        <f t="shared" ref="G440:G503" si="75">IFERROR(E440/D440,"")</f>
        <v>0.85231664686449093</v>
      </c>
      <c r="H440" s="34">
        <v>9207.4574100000009</v>
      </c>
      <c r="I440" s="34">
        <v>1433.76818</v>
      </c>
      <c r="J440" s="19">
        <f t="shared" si="68"/>
        <v>0.15571814412552357</v>
      </c>
      <c r="K440" s="35">
        <f t="shared" si="73"/>
        <v>88243.30236999999</v>
      </c>
      <c r="L440" s="34">
        <f t="shared" si="74"/>
        <v>50612.659419999996</v>
      </c>
      <c r="M440" s="115">
        <f t="shared" si="67"/>
        <v>0.57355808385075513</v>
      </c>
      <c r="N440" s="37" t="e">
        <f>#N/A</f>
        <v>#N/A</v>
      </c>
      <c r="P440" s="413"/>
      <c r="Q440" s="413"/>
    </row>
    <row r="441" spans="1:17" ht="13.8" x14ac:dyDescent="0.25">
      <c r="A441" s="41" t="s">
        <v>584</v>
      </c>
      <c r="B441" s="395">
        <v>2274</v>
      </c>
      <c r="C441" s="34">
        <v>806.21699999999998</v>
      </c>
      <c r="D441" s="80">
        <v>483.76900000000001</v>
      </c>
      <c r="E441" s="34">
        <v>391.85235999999998</v>
      </c>
      <c r="F441" s="19">
        <f t="shared" si="72"/>
        <v>0.48603832466941282</v>
      </c>
      <c r="G441" s="583">
        <f t="shared" si="75"/>
        <v>0.8099989044357947</v>
      </c>
      <c r="H441" s="34">
        <v>2</v>
      </c>
      <c r="I441" s="34">
        <v>0</v>
      </c>
      <c r="J441" s="19">
        <f t="shared" si="68"/>
        <v>0</v>
      </c>
      <c r="K441" s="35">
        <f t="shared" si="73"/>
        <v>808.21699999999998</v>
      </c>
      <c r="L441" s="34">
        <f t="shared" si="74"/>
        <v>391.85235999999998</v>
      </c>
      <c r="M441" s="115">
        <f t="shared" si="67"/>
        <v>0.48483558252301051</v>
      </c>
      <c r="N441" s="37" t="e">
        <f>#N/A</f>
        <v>#N/A</v>
      </c>
      <c r="P441" s="413"/>
      <c r="Q441" s="413"/>
    </row>
    <row r="442" spans="1:17" ht="19.5" customHeight="1" x14ac:dyDescent="0.25">
      <c r="A442" s="41" t="s">
        <v>585</v>
      </c>
      <c r="B442" s="395">
        <v>2275</v>
      </c>
      <c r="C442" s="34">
        <v>2636.9436900000001</v>
      </c>
      <c r="D442" s="80">
        <v>1830.84869</v>
      </c>
      <c r="E442" s="34">
        <v>1523.8452399999994</v>
      </c>
      <c r="F442" s="19">
        <f t="shared" si="72"/>
        <v>0.57788311740551401</v>
      </c>
      <c r="G442" s="583">
        <f t="shared" si="75"/>
        <v>0.83231631774005277</v>
      </c>
      <c r="H442" s="34">
        <v>84.995999999999995</v>
      </c>
      <c r="I442" s="34">
        <v>6.2289300000000001</v>
      </c>
      <c r="J442" s="19">
        <f t="shared" si="68"/>
        <v>7.3284978116617258E-2</v>
      </c>
      <c r="K442" s="35">
        <f t="shared" si="73"/>
        <v>2721.9396900000002</v>
      </c>
      <c r="L442" s="34">
        <f t="shared" si="74"/>
        <v>1530.0741699999994</v>
      </c>
      <c r="M442" s="115">
        <f t="shared" si="67"/>
        <v>0.56212640405710068</v>
      </c>
      <c r="N442" s="37"/>
    </row>
    <row r="443" spans="1:17" ht="26.4" x14ac:dyDescent="0.25">
      <c r="A443" s="41" t="s">
        <v>586</v>
      </c>
      <c r="B443" s="395">
        <v>2280</v>
      </c>
      <c r="C443" s="34">
        <v>21113.034319999999</v>
      </c>
      <c r="D443" s="80">
        <v>18833.338030000003</v>
      </c>
      <c r="E443" s="34">
        <v>17819.316210000001</v>
      </c>
      <c r="F443" s="19">
        <f t="shared" si="72"/>
        <v>0.84399598560402478</v>
      </c>
      <c r="G443" s="583">
        <f t="shared" si="75"/>
        <v>0.94615814687843725</v>
      </c>
      <c r="H443" s="561">
        <v>1705.2835299999999</v>
      </c>
      <c r="I443" s="561">
        <v>758.72904000000005</v>
      </c>
      <c r="J443" s="19">
        <f t="shared" si="68"/>
        <v>0.44492838091270376</v>
      </c>
      <c r="K443" s="35">
        <f t="shared" si="73"/>
        <v>22818.317849999999</v>
      </c>
      <c r="L443" s="34">
        <f t="shared" si="74"/>
        <v>18578.045249999999</v>
      </c>
      <c r="M443" s="115">
        <f t="shared" si="67"/>
        <v>0.81417242813978941</v>
      </c>
      <c r="N443" s="37" t="e">
        <f>#N/A</f>
        <v>#N/A</v>
      </c>
      <c r="P443" s="413"/>
      <c r="Q443" s="413"/>
    </row>
    <row r="444" spans="1:17" ht="26.25" customHeight="1" x14ac:dyDescent="0.25">
      <c r="A444" s="416" t="s">
        <v>587</v>
      </c>
      <c r="B444" s="395">
        <v>2281</v>
      </c>
      <c r="C444" s="417">
        <v>0</v>
      </c>
      <c r="D444" s="607"/>
      <c r="E444" s="417">
        <v>0</v>
      </c>
      <c r="F444" s="19"/>
      <c r="G444" s="583" t="str">
        <f t="shared" si="75"/>
        <v/>
      </c>
      <c r="H444" s="34">
        <v>1580</v>
      </c>
      <c r="I444" s="34">
        <v>693.49</v>
      </c>
      <c r="J444" s="19">
        <f t="shared" si="68"/>
        <v>0.43891772151898734</v>
      </c>
      <c r="K444" s="35">
        <f t="shared" si="73"/>
        <v>1580</v>
      </c>
      <c r="L444" s="34">
        <f t="shared" si="74"/>
        <v>693.49</v>
      </c>
      <c r="M444" s="115">
        <f t="shared" ref="M444:M500" si="76">IFERROR(L444/K444,"")</f>
        <v>0.43891772151898734</v>
      </c>
      <c r="N444" s="37" t="e">
        <f>#N/A</f>
        <v>#N/A</v>
      </c>
      <c r="P444" s="413"/>
      <c r="Q444" s="413"/>
    </row>
    <row r="445" spans="1:17" ht="26.4" x14ac:dyDescent="0.25">
      <c r="A445" s="416" t="s">
        <v>588</v>
      </c>
      <c r="B445" s="395">
        <v>2282</v>
      </c>
      <c r="C445" s="34">
        <v>21113.034319999999</v>
      </c>
      <c r="D445" s="80">
        <v>18833.338030000003</v>
      </c>
      <c r="E445" s="418">
        <v>17819.316210000001</v>
      </c>
      <c r="F445" s="19">
        <f>E445/C445</f>
        <v>0.84399598560402478</v>
      </c>
      <c r="G445" s="583">
        <f t="shared" si="75"/>
        <v>0.94615814687843725</v>
      </c>
      <c r="H445" s="34">
        <v>125.28353</v>
      </c>
      <c r="I445" s="34">
        <v>65.239040000000003</v>
      </c>
      <c r="J445" s="19">
        <f t="shared" si="68"/>
        <v>0.52073117671572633</v>
      </c>
      <c r="K445" s="35">
        <f>SUM(H445,C445)</f>
        <v>21238.317849999999</v>
      </c>
      <c r="L445" s="34">
        <f t="shared" si="74"/>
        <v>17884.555250000001</v>
      </c>
      <c r="M445" s="115">
        <f t="shared" si="76"/>
        <v>0.84208906638997316</v>
      </c>
      <c r="N445" s="37" t="e">
        <f>#N/A</f>
        <v>#N/A</v>
      </c>
      <c r="P445" s="413"/>
      <c r="Q445" s="413"/>
    </row>
    <row r="446" spans="1:17" s="32" customFormat="1" ht="13.8" hidden="1" x14ac:dyDescent="0.25">
      <c r="A446" s="823" t="s">
        <v>589</v>
      </c>
      <c r="B446" s="824">
        <v>2400</v>
      </c>
      <c r="C446" s="419">
        <f>C447</f>
        <v>0</v>
      </c>
      <c r="D446" s="419">
        <f>D447</f>
        <v>0</v>
      </c>
      <c r="E446" s="419">
        <f>E447</f>
        <v>0</v>
      </c>
      <c r="F446" s="825" t="e">
        <f t="shared" si="72"/>
        <v>#DIV/0!</v>
      </c>
      <c r="G446" s="151" t="str">
        <f t="shared" si="75"/>
        <v/>
      </c>
      <c r="H446" s="419"/>
      <c r="I446" s="419"/>
      <c r="J446" s="504" t="str">
        <f t="shared" ref="J446:J509" si="77">IFERROR(I446/H446,"")</f>
        <v/>
      </c>
      <c r="K446" s="502">
        <f t="shared" si="73"/>
        <v>0</v>
      </c>
      <c r="L446" s="502">
        <f t="shared" si="74"/>
        <v>0</v>
      </c>
      <c r="M446" s="826" t="str">
        <f t="shared" si="76"/>
        <v/>
      </c>
      <c r="N446" s="37" t="e">
        <f>#N/A</f>
        <v>#N/A</v>
      </c>
      <c r="P446" s="412"/>
      <c r="Q446" s="412"/>
    </row>
    <row r="447" spans="1:17" s="32" customFormat="1" ht="13.8" hidden="1" x14ac:dyDescent="0.25">
      <c r="A447" s="689" t="s">
        <v>590</v>
      </c>
      <c r="B447" s="690">
        <v>2420</v>
      </c>
      <c r="C447" s="371">
        <v>0</v>
      </c>
      <c r="D447" s="371">
        <v>0</v>
      </c>
      <c r="E447" s="371">
        <v>0</v>
      </c>
      <c r="F447" s="572" t="e">
        <f t="shared" si="72"/>
        <v>#DIV/0!</v>
      </c>
      <c r="G447" s="61" t="str">
        <f t="shared" si="75"/>
        <v/>
      </c>
      <c r="H447" s="691"/>
      <c r="I447" s="691"/>
      <c r="J447" s="499" t="str">
        <f t="shared" si="77"/>
        <v/>
      </c>
      <c r="K447" s="509">
        <f t="shared" si="73"/>
        <v>0</v>
      </c>
      <c r="L447" s="692">
        <f t="shared" si="74"/>
        <v>0</v>
      </c>
      <c r="M447" s="693" t="str">
        <f t="shared" si="76"/>
        <v/>
      </c>
      <c r="N447" s="37"/>
      <c r="P447" s="412"/>
      <c r="Q447" s="412"/>
    </row>
    <row r="448" spans="1:17" s="32" customFormat="1" ht="13.8" x14ac:dyDescent="0.25">
      <c r="A448" s="28" t="s">
        <v>591</v>
      </c>
      <c r="B448" s="299">
        <v>2600</v>
      </c>
      <c r="C448" s="420">
        <f>C449+C450</f>
        <v>571230.79623000009</v>
      </c>
      <c r="D448" s="608">
        <f>D449+D450</f>
        <v>422147.58198000008</v>
      </c>
      <c r="E448" s="420">
        <f>E449+E450</f>
        <v>432881.55135999998</v>
      </c>
      <c r="F448" s="25">
        <f t="shared" si="72"/>
        <v>0.75780499618879926</v>
      </c>
      <c r="G448" s="580">
        <f t="shared" si="75"/>
        <v>1.0254270540403296</v>
      </c>
      <c r="H448" s="420">
        <f>H449</f>
        <v>76.697999999999993</v>
      </c>
      <c r="I448" s="420">
        <f>I449</f>
        <v>30.672000000000001</v>
      </c>
      <c r="J448" s="25">
        <f t="shared" si="77"/>
        <v>0.39990612532269426</v>
      </c>
      <c r="K448" s="23">
        <f t="shared" si="73"/>
        <v>571307.49423000007</v>
      </c>
      <c r="L448" s="420">
        <f t="shared" si="74"/>
        <v>432912.22336</v>
      </c>
      <c r="M448" s="25">
        <f t="shared" si="76"/>
        <v>0.7577569482848685</v>
      </c>
      <c r="N448" s="37" t="e">
        <f>#N/A</f>
        <v>#N/A</v>
      </c>
      <c r="P448" s="412"/>
      <c r="Q448" s="412"/>
    </row>
    <row r="449" spans="1:17" s="130" customFormat="1" ht="26.4" x14ac:dyDescent="0.25">
      <c r="A449" s="145" t="s">
        <v>592</v>
      </c>
      <c r="B449" s="421">
        <v>2610</v>
      </c>
      <c r="C449" s="34">
        <v>507607.53414000006</v>
      </c>
      <c r="D449" s="80">
        <v>372176.27593000006</v>
      </c>
      <c r="E449" s="34">
        <v>376228.24530999997</v>
      </c>
      <c r="F449" s="19">
        <f t="shared" si="72"/>
        <v>0.74117939550959222</v>
      </c>
      <c r="G449" s="583">
        <f t="shared" si="75"/>
        <v>1.0108872317825062</v>
      </c>
      <c r="H449" s="34">
        <v>76.697999999999993</v>
      </c>
      <c r="I449" s="34">
        <v>30.672000000000001</v>
      </c>
      <c r="J449" s="19">
        <f t="shared" si="77"/>
        <v>0.39990612532269426</v>
      </c>
      <c r="K449" s="35">
        <f t="shared" si="73"/>
        <v>507684.23214000004</v>
      </c>
      <c r="L449" s="34">
        <f t="shared" si="74"/>
        <v>376258.91730999999</v>
      </c>
      <c r="M449" s="115">
        <f t="shared" si="76"/>
        <v>0.74112783791607317</v>
      </c>
      <c r="N449" s="37" t="e">
        <f>#N/A</f>
        <v>#N/A</v>
      </c>
      <c r="P449" s="422"/>
      <c r="Q449" s="422"/>
    </row>
    <row r="450" spans="1:17" s="130" customFormat="1" ht="13.8" x14ac:dyDescent="0.25">
      <c r="A450" s="145" t="s">
        <v>593</v>
      </c>
      <c r="B450" s="421">
        <v>2620</v>
      </c>
      <c r="C450" s="34">
        <v>63623.262090000033</v>
      </c>
      <c r="D450" s="80">
        <v>49971.306050000036</v>
      </c>
      <c r="E450" s="34">
        <v>56653.306050000007</v>
      </c>
      <c r="F450" s="19">
        <f t="shared" si="72"/>
        <v>0.89044956496979855</v>
      </c>
      <c r="G450" s="583">
        <f t="shared" si="75"/>
        <v>1.1337167372274426</v>
      </c>
      <c r="H450" s="561">
        <v>0</v>
      </c>
      <c r="I450" s="561">
        <v>0</v>
      </c>
      <c r="J450" s="115" t="str">
        <f t="shared" si="77"/>
        <v/>
      </c>
      <c r="K450" s="35">
        <f t="shared" si="73"/>
        <v>63623.262090000033</v>
      </c>
      <c r="L450" s="34">
        <f t="shared" si="74"/>
        <v>56653.306050000007</v>
      </c>
      <c r="M450" s="115">
        <f t="shared" si="76"/>
        <v>0.89044956496979855</v>
      </c>
      <c r="N450" s="37" t="e">
        <f>#N/A</f>
        <v>#N/A</v>
      </c>
      <c r="P450" s="422"/>
      <c r="Q450" s="422"/>
    </row>
    <row r="451" spans="1:17" s="32" customFormat="1" ht="13.8" x14ac:dyDescent="0.25">
      <c r="A451" s="28" t="s">
        <v>594</v>
      </c>
      <c r="B451" s="299">
        <v>2700</v>
      </c>
      <c r="C451" s="420">
        <f>C453+C454</f>
        <v>270239.90672199999</v>
      </c>
      <c r="D451" s="608">
        <f>SUM(D452:D454)</f>
        <v>216740.53322000001</v>
      </c>
      <c r="E451" s="420">
        <f>SUM(E452:E454)</f>
        <v>218588.69713000002</v>
      </c>
      <c r="F451" s="25">
        <f t="shared" si="72"/>
        <v>0.80886905187865399</v>
      </c>
      <c r="G451" s="580">
        <f t="shared" si="75"/>
        <v>1.0085270802029636</v>
      </c>
      <c r="H451" s="420">
        <f>SUM(H452:H454)</f>
        <v>27.53</v>
      </c>
      <c r="I451" s="420">
        <f>SUM(I452:I454)</f>
        <v>26.79</v>
      </c>
      <c r="J451" s="25">
        <f t="shared" si="77"/>
        <v>0.97312023247366497</v>
      </c>
      <c r="K451" s="23">
        <f t="shared" si="73"/>
        <v>270267.43672200001</v>
      </c>
      <c r="L451" s="23">
        <f t="shared" si="74"/>
        <v>218615.48713000002</v>
      </c>
      <c r="M451" s="25">
        <f t="shared" si="76"/>
        <v>0.80888578284357004</v>
      </c>
      <c r="N451" s="37" t="e">
        <f>#N/A</f>
        <v>#N/A</v>
      </c>
      <c r="P451" s="412"/>
      <c r="Q451" s="412"/>
    </row>
    <row r="452" spans="1:17" s="130" customFormat="1" ht="13.8" hidden="1" x14ac:dyDescent="0.25">
      <c r="A452" s="827" t="s">
        <v>595</v>
      </c>
      <c r="B452" s="828">
        <v>2710</v>
      </c>
      <c r="C452" s="423">
        <v>0</v>
      </c>
      <c r="D452" s="424"/>
      <c r="E452" s="423">
        <v>0</v>
      </c>
      <c r="F452" s="745" t="e">
        <f>#N/A</f>
        <v>#N/A</v>
      </c>
      <c r="G452" s="49" t="str">
        <f t="shared" si="75"/>
        <v/>
      </c>
      <c r="H452" s="423">
        <v>0</v>
      </c>
      <c r="I452" s="423"/>
      <c r="J452" s="745" t="str">
        <f t="shared" si="77"/>
        <v/>
      </c>
      <c r="K452" s="730" t="e">
        <f>#N/A</f>
        <v>#N/A</v>
      </c>
      <c r="L452" s="730" t="e">
        <f>#N/A</f>
        <v>#N/A</v>
      </c>
      <c r="M452" s="745" t="str">
        <f t="shared" si="76"/>
        <v/>
      </c>
      <c r="N452" s="37" t="e">
        <f>#N/A</f>
        <v>#N/A</v>
      </c>
      <c r="P452" s="422"/>
      <c r="Q452" s="422"/>
    </row>
    <row r="453" spans="1:17" ht="14.25" customHeight="1" x14ac:dyDescent="0.25">
      <c r="A453" s="69" t="s">
        <v>596</v>
      </c>
      <c r="B453" s="398">
        <v>2720</v>
      </c>
      <c r="C453" s="34">
        <v>24993.583999999999</v>
      </c>
      <c r="D453" s="80">
        <v>17835.583999999999</v>
      </c>
      <c r="E453" s="34">
        <v>17494.054840000001</v>
      </c>
      <c r="F453" s="19">
        <f>E453/C453</f>
        <v>0.69994182667039673</v>
      </c>
      <c r="G453" s="583">
        <f t="shared" si="75"/>
        <v>0.98085124882930674</v>
      </c>
      <c r="H453" s="34">
        <v>3.75</v>
      </c>
      <c r="I453" s="34">
        <v>3.75</v>
      </c>
      <c r="J453" s="305">
        <f t="shared" si="77"/>
        <v>1</v>
      </c>
      <c r="K453" s="35">
        <f t="shared" si="73"/>
        <v>24997.333999999999</v>
      </c>
      <c r="L453" s="35">
        <f t="shared" si="74"/>
        <v>17497.804840000001</v>
      </c>
      <c r="M453" s="115">
        <f t="shared" si="76"/>
        <v>0.69998684019663859</v>
      </c>
      <c r="N453" s="37" t="e">
        <f>#N/A</f>
        <v>#N/A</v>
      </c>
      <c r="P453" s="413"/>
      <c r="Q453" s="413"/>
    </row>
    <row r="454" spans="1:17" s="130" customFormat="1" ht="13.8" x14ac:dyDescent="0.25">
      <c r="A454" s="145" t="s">
        <v>597</v>
      </c>
      <c r="B454" s="421">
        <v>2730</v>
      </c>
      <c r="C454" s="34">
        <v>245246.32272200001</v>
      </c>
      <c r="D454" s="80">
        <v>198904.94922000001</v>
      </c>
      <c r="E454" s="34">
        <v>201094.64229000002</v>
      </c>
      <c r="F454" s="19">
        <f>E454/C454</f>
        <v>0.81997006135725703</v>
      </c>
      <c r="G454" s="583">
        <f t="shared" si="75"/>
        <v>1.0110087410021058</v>
      </c>
      <c r="H454" s="34">
        <v>23.78</v>
      </c>
      <c r="I454" s="34">
        <v>23.04</v>
      </c>
      <c r="J454" s="115">
        <f t="shared" si="77"/>
        <v>0.96888141295206043</v>
      </c>
      <c r="K454" s="35">
        <f t="shared" si="73"/>
        <v>245270.10272200001</v>
      </c>
      <c r="L454" s="34">
        <f t="shared" si="74"/>
        <v>201117.68229000003</v>
      </c>
      <c r="M454" s="115">
        <f t="shared" si="76"/>
        <v>0.81998449895850412</v>
      </c>
      <c r="N454" s="37" t="e">
        <f>#N/A</f>
        <v>#N/A</v>
      </c>
      <c r="P454" s="422"/>
      <c r="Q454" s="422"/>
    </row>
    <row r="455" spans="1:17" s="32" customFormat="1" ht="18" customHeight="1" x14ac:dyDescent="0.25">
      <c r="A455" s="414" t="s">
        <v>598</v>
      </c>
      <c r="B455" s="425">
        <v>2800</v>
      </c>
      <c r="C455" s="34">
        <v>8239.7427900000002</v>
      </c>
      <c r="D455" s="80">
        <v>6700.3925200000003</v>
      </c>
      <c r="E455" s="34">
        <v>4662.0565900000001</v>
      </c>
      <c r="F455" s="25">
        <f>E455/C455</f>
        <v>0.56580122812304434</v>
      </c>
      <c r="G455" s="580">
        <f t="shared" si="75"/>
        <v>0.69578857896522162</v>
      </c>
      <c r="H455" s="420">
        <v>425.18027000000001</v>
      </c>
      <c r="I455" s="420">
        <v>187.24401</v>
      </c>
      <c r="J455" s="25">
        <f t="shared" si="77"/>
        <v>0.44038734440805544</v>
      </c>
      <c r="K455" s="23">
        <f t="shared" si="73"/>
        <v>8664.923060000001</v>
      </c>
      <c r="L455" s="23">
        <f t="shared" si="74"/>
        <v>4849.3006000000005</v>
      </c>
      <c r="M455" s="25">
        <f t="shared" si="76"/>
        <v>0.55964727746815102</v>
      </c>
      <c r="N455" s="37" t="e">
        <f>#N/A</f>
        <v>#N/A</v>
      </c>
      <c r="P455" s="412"/>
      <c r="Q455" s="412"/>
    </row>
    <row r="456" spans="1:17" s="171" customFormat="1" ht="15.75" customHeight="1" x14ac:dyDescent="0.25">
      <c r="A456" s="404" t="s">
        <v>599</v>
      </c>
      <c r="B456" s="404">
        <v>3000</v>
      </c>
      <c r="C456" s="406">
        <f>SUM(C457,C470,C471)</f>
        <v>0</v>
      </c>
      <c r="D456" s="606">
        <f>SUM(D457,D470,D471)</f>
        <v>0</v>
      </c>
      <c r="E456" s="406">
        <f>SUM(E457,E470,E471)</f>
        <v>0</v>
      </c>
      <c r="F456" s="76"/>
      <c r="G456" s="584" t="str">
        <f t="shared" si="75"/>
        <v/>
      </c>
      <c r="H456" s="405">
        <f>H457+H471</f>
        <v>1342077.1421400001</v>
      </c>
      <c r="I456" s="405">
        <f>I457+I471</f>
        <v>795637.09128000005</v>
      </c>
      <c r="J456" s="170">
        <f t="shared" si="77"/>
        <v>0.59284005836752596</v>
      </c>
      <c r="K456" s="23">
        <f t="shared" si="73"/>
        <v>1342077.1421400001</v>
      </c>
      <c r="L456" s="24">
        <f t="shared" si="74"/>
        <v>795637.09128000005</v>
      </c>
      <c r="M456" s="31">
        <f t="shared" si="76"/>
        <v>0.59284005836752596</v>
      </c>
      <c r="N456" s="37" t="e">
        <f>#N/A</f>
        <v>#N/A</v>
      </c>
      <c r="P456" s="426"/>
      <c r="Q456" s="426"/>
    </row>
    <row r="457" spans="1:17" s="32" customFormat="1" ht="17.25" customHeight="1" x14ac:dyDescent="0.25">
      <c r="A457" s="28" t="s">
        <v>600</v>
      </c>
      <c r="B457" s="299">
        <v>3100</v>
      </c>
      <c r="C457" s="15">
        <f>SUM(C458,C459,C464,C467)</f>
        <v>0</v>
      </c>
      <c r="D457" s="609">
        <f>SUM(D458,D459,D464,D467)</f>
        <v>0</v>
      </c>
      <c r="E457" s="15">
        <f>SUM(E458,E459,E464,E467)</f>
        <v>0</v>
      </c>
      <c r="F457" s="76"/>
      <c r="G457" s="584" t="str">
        <f t="shared" si="75"/>
        <v/>
      </c>
      <c r="H457" s="15">
        <f>SUM(H458,H459,H464,H467,H461,H470)</f>
        <v>535814.80687000009</v>
      </c>
      <c r="I457" s="15">
        <f>SUM(I458,I459,I464,I467,I461,I470)</f>
        <v>249566.39546999999</v>
      </c>
      <c r="J457" s="31">
        <f t="shared" si="77"/>
        <v>0.4657698747219392</v>
      </c>
      <c r="K457" s="23">
        <f t="shared" si="73"/>
        <v>535814.80687000009</v>
      </c>
      <c r="L457" s="30">
        <f t="shared" si="74"/>
        <v>249566.39546999999</v>
      </c>
      <c r="M457" s="31">
        <f t="shared" si="76"/>
        <v>0.4657698747219392</v>
      </c>
      <c r="N457" s="37" t="e">
        <f>#N/A</f>
        <v>#N/A</v>
      </c>
      <c r="P457" s="412"/>
      <c r="Q457" s="412"/>
    </row>
    <row r="458" spans="1:17" s="130" customFormat="1" ht="13.8" x14ac:dyDescent="0.25">
      <c r="A458" s="131" t="s">
        <v>601</v>
      </c>
      <c r="B458" s="427">
        <v>3110</v>
      </c>
      <c r="C458" s="561"/>
      <c r="D458" s="607"/>
      <c r="E458" s="561"/>
      <c r="F458" s="19"/>
      <c r="G458" s="583" t="str">
        <f t="shared" si="75"/>
        <v/>
      </c>
      <c r="H458" s="34">
        <v>83027.673750000002</v>
      </c>
      <c r="I458" s="34">
        <v>57466.982389999997</v>
      </c>
      <c r="J458" s="115">
        <f t="shared" si="77"/>
        <v>0.69214250856931903</v>
      </c>
      <c r="K458" s="35">
        <f t="shared" si="73"/>
        <v>83027.673750000002</v>
      </c>
      <c r="L458" s="34">
        <f t="shared" si="74"/>
        <v>57466.982389999997</v>
      </c>
      <c r="M458" s="115">
        <f t="shared" si="76"/>
        <v>0.69214250856931903</v>
      </c>
      <c r="N458" s="37" t="e">
        <f>#N/A</f>
        <v>#N/A</v>
      </c>
      <c r="P458" s="422"/>
      <c r="Q458" s="422"/>
    </row>
    <row r="459" spans="1:17" s="130" customFormat="1" ht="32.25" hidden="1" customHeight="1" x14ac:dyDescent="0.25">
      <c r="A459" s="829" t="s">
        <v>602</v>
      </c>
      <c r="B459" s="830">
        <v>3120</v>
      </c>
      <c r="C459" s="429">
        <f>SUM(C460:C463)</f>
        <v>0</v>
      </c>
      <c r="D459" s="429">
        <f>SUM(D460:D463)</f>
        <v>0</v>
      </c>
      <c r="E459" s="429">
        <f>SUM(E460:E463)</f>
        <v>0</v>
      </c>
      <c r="F459" s="573"/>
      <c r="G459" s="183" t="str">
        <f t="shared" si="75"/>
        <v/>
      </c>
      <c r="H459" s="430"/>
      <c r="I459" s="430"/>
      <c r="J459" s="574" t="str">
        <f t="shared" si="77"/>
        <v/>
      </c>
      <c r="K459" s="831" t="e">
        <f>#N/A</f>
        <v>#N/A</v>
      </c>
      <c r="L459" s="831" t="e">
        <f>#N/A</f>
        <v>#N/A</v>
      </c>
      <c r="M459" s="723" t="str">
        <f t="shared" si="76"/>
        <v/>
      </c>
      <c r="N459" s="37" t="e">
        <f>#N/A</f>
        <v>#N/A</v>
      </c>
      <c r="P459" s="422"/>
      <c r="Q459" s="422"/>
    </row>
    <row r="460" spans="1:17" s="130" customFormat="1" ht="27" hidden="1" customHeight="1" x14ac:dyDescent="0.25">
      <c r="A460" s="695" t="s">
        <v>603</v>
      </c>
      <c r="B460" s="694">
        <v>3121</v>
      </c>
      <c r="C460" s="431">
        <v>0</v>
      </c>
      <c r="D460" s="431">
        <v>0</v>
      </c>
      <c r="E460" s="431">
        <v>0</v>
      </c>
      <c r="F460" s="696"/>
      <c r="G460" s="397" t="str">
        <f t="shared" si="75"/>
        <v/>
      </c>
      <c r="H460" s="431"/>
      <c r="I460" s="431"/>
      <c r="J460" s="696" t="str">
        <f t="shared" si="77"/>
        <v/>
      </c>
      <c r="K460" s="697" t="e">
        <f>#N/A</f>
        <v>#N/A</v>
      </c>
      <c r="L460" s="697" t="e">
        <f>#N/A</f>
        <v>#N/A</v>
      </c>
      <c r="M460" s="696" t="str">
        <f t="shared" si="76"/>
        <v/>
      </c>
      <c r="N460" s="37" t="e">
        <f>#N/A</f>
        <v>#N/A</v>
      </c>
      <c r="P460" s="130">
        <v>0</v>
      </c>
      <c r="Q460" s="130">
        <v>133541.8444</v>
      </c>
    </row>
    <row r="461" spans="1:17" ht="18.75" customHeight="1" x14ac:dyDescent="0.25">
      <c r="A461" s="432" t="s">
        <v>602</v>
      </c>
      <c r="B461" s="398">
        <v>3120</v>
      </c>
      <c r="C461" s="417"/>
      <c r="D461" s="607"/>
      <c r="E461" s="417"/>
      <c r="F461" s="118"/>
      <c r="G461" s="610" t="str">
        <f t="shared" si="75"/>
        <v/>
      </c>
      <c r="H461" s="34">
        <v>27296.879860000001</v>
      </c>
      <c r="I461" s="34">
        <v>10645.00655</v>
      </c>
      <c r="J461" s="115">
        <f t="shared" si="77"/>
        <v>0.38997155003048029</v>
      </c>
      <c r="K461" s="35">
        <f>SUM(H461,C461)</f>
        <v>27296.879860000001</v>
      </c>
      <c r="L461" s="34">
        <f>E461+I461</f>
        <v>10645.00655</v>
      </c>
      <c r="M461" s="115">
        <f t="shared" si="76"/>
        <v>0.38997155003048029</v>
      </c>
      <c r="N461" s="37" t="e">
        <f>#N/A</f>
        <v>#N/A</v>
      </c>
      <c r="P461" s="8">
        <v>0</v>
      </c>
      <c r="Q461" s="8">
        <v>5238.4070300000003</v>
      </c>
    </row>
    <row r="462" spans="1:17" ht="22.5" hidden="1" customHeight="1" x14ac:dyDescent="0.25">
      <c r="A462" s="832" t="s">
        <v>604</v>
      </c>
      <c r="B462" s="833">
        <v>3121</v>
      </c>
      <c r="C462" s="433"/>
      <c r="D462" s="434"/>
      <c r="E462" s="433"/>
      <c r="F462" s="834"/>
      <c r="G462" s="87" t="str">
        <f t="shared" si="75"/>
        <v/>
      </c>
      <c r="H462" s="433">
        <v>0</v>
      </c>
      <c r="I462" s="433"/>
      <c r="J462" s="651" t="str">
        <f t="shared" si="77"/>
        <v/>
      </c>
      <c r="K462" s="783"/>
      <c r="L462" s="783"/>
      <c r="M462" s="745" t="str">
        <f t="shared" si="76"/>
        <v/>
      </c>
      <c r="N462" s="37"/>
    </row>
    <row r="463" spans="1:17" s="130" customFormat="1" ht="13.8" x14ac:dyDescent="0.25">
      <c r="A463" s="435" t="s">
        <v>605</v>
      </c>
      <c r="B463" s="421">
        <v>3122</v>
      </c>
      <c r="C463" s="561"/>
      <c r="D463" s="607"/>
      <c r="E463" s="561"/>
      <c r="F463" s="19"/>
      <c r="G463" s="583" t="str">
        <f t="shared" si="75"/>
        <v/>
      </c>
      <c r="H463" s="34">
        <v>27296.879860000001</v>
      </c>
      <c r="I463" s="34">
        <v>10645.00655</v>
      </c>
      <c r="J463" s="115">
        <f t="shared" si="77"/>
        <v>0.38997155003048029</v>
      </c>
      <c r="K463" s="35">
        <f t="shared" ref="K463:K475" si="78">SUM(H463,C463)</f>
        <v>27296.879860000001</v>
      </c>
      <c r="L463" s="34">
        <f t="shared" ref="L463:L475" si="79">E463+I463</f>
        <v>10645.00655</v>
      </c>
      <c r="M463" s="115">
        <f t="shared" si="76"/>
        <v>0.38997155003048029</v>
      </c>
      <c r="N463" s="37" t="e">
        <f>#N/A</f>
        <v>#N/A</v>
      </c>
      <c r="P463" s="422"/>
      <c r="Q463" s="422"/>
    </row>
    <row r="464" spans="1:17" s="130" customFormat="1" ht="13.8" x14ac:dyDescent="0.25">
      <c r="A464" s="435" t="s">
        <v>606</v>
      </c>
      <c r="B464" s="436">
        <v>3130</v>
      </c>
      <c r="C464" s="117">
        <f>SUM(C465:C466)</f>
        <v>0</v>
      </c>
      <c r="D464" s="586">
        <f>SUM(D465:D466)</f>
        <v>0</v>
      </c>
      <c r="E464" s="117">
        <f>SUM(E465:E466)</f>
        <v>0</v>
      </c>
      <c r="F464" s="19"/>
      <c r="G464" s="583" t="str">
        <f t="shared" si="75"/>
        <v/>
      </c>
      <c r="H464" s="117">
        <v>348098.61022000003</v>
      </c>
      <c r="I464" s="117">
        <v>124189.46493999999</v>
      </c>
      <c r="J464" s="115">
        <f t="shared" si="77"/>
        <v>0.35676518461682921</v>
      </c>
      <c r="K464" s="35">
        <f t="shared" si="78"/>
        <v>348098.61022000003</v>
      </c>
      <c r="L464" s="34">
        <f t="shared" si="79"/>
        <v>124189.46493999999</v>
      </c>
      <c r="M464" s="115">
        <f t="shared" si="76"/>
        <v>0.35676518461682921</v>
      </c>
      <c r="N464" s="37" t="e">
        <f>#N/A</f>
        <v>#N/A</v>
      </c>
      <c r="P464" s="422"/>
      <c r="Q464" s="422"/>
    </row>
    <row r="465" spans="1:24" s="130" customFormat="1" ht="18.75" hidden="1" customHeight="1" x14ac:dyDescent="0.25">
      <c r="A465" s="835" t="s">
        <v>607</v>
      </c>
      <c r="B465" s="836">
        <v>3131</v>
      </c>
      <c r="C465" s="837"/>
      <c r="D465" s="437"/>
      <c r="E465" s="837"/>
      <c r="F465" s="728"/>
      <c r="G465" s="61" t="str">
        <f t="shared" si="75"/>
        <v/>
      </c>
      <c r="H465" s="150"/>
      <c r="I465" s="150">
        <v>0</v>
      </c>
      <c r="J465" s="727" t="str">
        <f t="shared" si="77"/>
        <v/>
      </c>
      <c r="K465" s="223">
        <f t="shared" si="78"/>
        <v>0</v>
      </c>
      <c r="L465" s="729">
        <f t="shared" si="79"/>
        <v>0</v>
      </c>
      <c r="M465" s="727" t="str">
        <f t="shared" si="76"/>
        <v/>
      </c>
      <c r="N465" s="37" t="e">
        <f>#N/A</f>
        <v>#N/A</v>
      </c>
      <c r="P465" s="422"/>
      <c r="Q465" s="422"/>
    </row>
    <row r="466" spans="1:24" s="130" customFormat="1" ht="13.8" x14ac:dyDescent="0.25">
      <c r="A466" s="145" t="s">
        <v>608</v>
      </c>
      <c r="B466" s="438">
        <v>3132</v>
      </c>
      <c r="C466" s="117"/>
      <c r="D466" s="586"/>
      <c r="E466" s="117"/>
      <c r="F466" s="19"/>
      <c r="G466" s="583" t="str">
        <f t="shared" si="75"/>
        <v/>
      </c>
      <c r="H466" s="117">
        <v>348098.61022000003</v>
      </c>
      <c r="I466" s="34">
        <v>124189.46493999999</v>
      </c>
      <c r="J466" s="115">
        <f t="shared" si="77"/>
        <v>0.35676518461682921</v>
      </c>
      <c r="K466" s="35">
        <f t="shared" si="78"/>
        <v>348098.61022000003</v>
      </c>
      <c r="L466" s="34">
        <f t="shared" si="79"/>
        <v>124189.46493999999</v>
      </c>
      <c r="M466" s="115">
        <f t="shared" si="76"/>
        <v>0.35676518461682921</v>
      </c>
      <c r="N466" s="37" t="e">
        <f>#N/A</f>
        <v>#N/A</v>
      </c>
      <c r="P466" s="422"/>
      <c r="Q466" s="422"/>
    </row>
    <row r="467" spans="1:24" s="130" customFormat="1" ht="13.8" x14ac:dyDescent="0.25">
      <c r="A467" s="145" t="s">
        <v>609</v>
      </c>
      <c r="B467" s="438">
        <v>3140</v>
      </c>
      <c r="C467" s="117">
        <f>C469+C468</f>
        <v>0</v>
      </c>
      <c r="D467" s="586">
        <f>D469+D468</f>
        <v>0</v>
      </c>
      <c r="E467" s="117">
        <f>E469+E468</f>
        <v>0</v>
      </c>
      <c r="F467" s="19"/>
      <c r="G467" s="583" t="str">
        <f t="shared" si="75"/>
        <v/>
      </c>
      <c r="H467" s="117">
        <v>75891.64304000001</v>
      </c>
      <c r="I467" s="117">
        <v>57264.941590000002</v>
      </c>
      <c r="J467" s="115">
        <f t="shared" si="77"/>
        <v>0.75456188976983296</v>
      </c>
      <c r="K467" s="35">
        <f t="shared" si="78"/>
        <v>75891.64304000001</v>
      </c>
      <c r="L467" s="34">
        <f t="shared" si="79"/>
        <v>57264.941590000002</v>
      </c>
      <c r="M467" s="115">
        <f t="shared" si="76"/>
        <v>0.75456188976983296</v>
      </c>
      <c r="N467" s="37" t="e">
        <f>#N/A</f>
        <v>#N/A</v>
      </c>
      <c r="P467" s="422"/>
      <c r="Q467" s="422"/>
    </row>
    <row r="468" spans="1:24" ht="13.8" x14ac:dyDescent="0.25">
      <c r="A468" s="69" t="s">
        <v>610</v>
      </c>
      <c r="B468" s="439">
        <v>3142</v>
      </c>
      <c r="C468" s="70"/>
      <c r="D468" s="586"/>
      <c r="E468" s="70"/>
      <c r="F468" s="19"/>
      <c r="G468" s="583" t="str">
        <f t="shared" si="75"/>
        <v/>
      </c>
      <c r="H468" s="117">
        <v>74588.556580000004</v>
      </c>
      <c r="I468" s="117">
        <v>56361.855130000004</v>
      </c>
      <c r="J468" s="115">
        <f t="shared" si="77"/>
        <v>0.75563675869701352</v>
      </c>
      <c r="K468" s="35">
        <f t="shared" si="78"/>
        <v>74588.556580000004</v>
      </c>
      <c r="L468" s="34">
        <f t="shared" si="79"/>
        <v>56361.855130000004</v>
      </c>
      <c r="M468" s="115">
        <f t="shared" si="76"/>
        <v>0.75563675869701352</v>
      </c>
      <c r="N468" s="37"/>
      <c r="P468" s="8">
        <v>0</v>
      </c>
      <c r="Q468" s="8">
        <v>4923.3999999999996</v>
      </c>
    </row>
    <row r="469" spans="1:24" s="130" customFormat="1" ht="13.8" x14ac:dyDescent="0.25">
      <c r="A469" s="45" t="s">
        <v>611</v>
      </c>
      <c r="B469" s="438">
        <v>3143</v>
      </c>
      <c r="C469" s="117"/>
      <c r="D469" s="586"/>
      <c r="E469" s="117"/>
      <c r="F469" s="19"/>
      <c r="G469" s="583" t="str">
        <f t="shared" si="75"/>
        <v/>
      </c>
      <c r="H469" s="34">
        <v>1303.08646</v>
      </c>
      <c r="I469" s="34">
        <v>903.08645999999999</v>
      </c>
      <c r="J469" s="115">
        <f t="shared" si="77"/>
        <v>0.69303648508480398</v>
      </c>
      <c r="K469" s="35">
        <f t="shared" si="78"/>
        <v>1303.08646</v>
      </c>
      <c r="L469" s="34">
        <f t="shared" si="79"/>
        <v>903.08645999999999</v>
      </c>
      <c r="M469" s="115">
        <f t="shared" si="76"/>
        <v>0.69303648508480398</v>
      </c>
      <c r="N469" s="37" t="e">
        <f>#N/A</f>
        <v>#N/A</v>
      </c>
      <c r="P469" s="422"/>
      <c r="Q469" s="422"/>
    </row>
    <row r="470" spans="1:24" s="32" customFormat="1" ht="13.8" x14ac:dyDescent="0.25">
      <c r="A470" s="263" t="s">
        <v>612</v>
      </c>
      <c r="B470" s="260">
        <v>3160</v>
      </c>
      <c r="C470" s="128"/>
      <c r="D470" s="611"/>
      <c r="E470" s="128"/>
      <c r="F470" s="76"/>
      <c r="G470" s="584" t="str">
        <f t="shared" si="75"/>
        <v/>
      </c>
      <c r="H470" s="117">
        <v>1500</v>
      </c>
      <c r="I470" s="117">
        <v>0</v>
      </c>
      <c r="J470" s="115">
        <f t="shared" si="77"/>
        <v>0</v>
      </c>
      <c r="K470" s="35">
        <f t="shared" si="78"/>
        <v>1500</v>
      </c>
      <c r="L470" s="34">
        <f t="shared" si="79"/>
        <v>0</v>
      </c>
      <c r="M470" s="115">
        <f t="shared" si="76"/>
        <v>0</v>
      </c>
      <c r="N470" s="37" t="e">
        <f>#N/A</f>
        <v>#N/A</v>
      </c>
      <c r="P470" s="412"/>
      <c r="Q470" s="412">
        <v>7383.2263600000006</v>
      </c>
    </row>
    <row r="471" spans="1:24" s="32" customFormat="1" ht="21" customHeight="1" x14ac:dyDescent="0.25">
      <c r="A471" s="114" t="s">
        <v>613</v>
      </c>
      <c r="B471" s="226">
        <v>3200</v>
      </c>
      <c r="C471" s="128"/>
      <c r="D471" s="582">
        <f>SUM(D472:D475)</f>
        <v>0</v>
      </c>
      <c r="E471" s="128">
        <f>SUM(E472:E475)</f>
        <v>0</v>
      </c>
      <c r="F471" s="76"/>
      <c r="G471" s="584" t="str">
        <f t="shared" si="75"/>
        <v/>
      </c>
      <c r="H471" s="128">
        <f>SUM(H472:H475)</f>
        <v>806262.33526999992</v>
      </c>
      <c r="I471" s="128">
        <f>SUM(I472:I475)</f>
        <v>546070.69581000006</v>
      </c>
      <c r="J471" s="31">
        <f t="shared" si="77"/>
        <v>0.67728662486401869</v>
      </c>
      <c r="K471" s="23">
        <f t="shared" si="78"/>
        <v>806262.33526999992</v>
      </c>
      <c r="L471" s="30">
        <f t="shared" si="79"/>
        <v>546070.69581000006</v>
      </c>
      <c r="M471" s="31">
        <f t="shared" si="76"/>
        <v>0.67728662486401869</v>
      </c>
      <c r="N471" s="37" t="e">
        <f>#N/A</f>
        <v>#N/A</v>
      </c>
    </row>
    <row r="472" spans="1:24" s="130" customFormat="1" ht="21.75" customHeight="1" x14ac:dyDescent="0.25">
      <c r="A472" s="435" t="s">
        <v>614</v>
      </c>
      <c r="B472" s="438">
        <v>3210</v>
      </c>
      <c r="C472" s="117"/>
      <c r="D472" s="586"/>
      <c r="E472" s="117"/>
      <c r="F472" s="19"/>
      <c r="G472" s="583" t="str">
        <f t="shared" si="75"/>
        <v/>
      </c>
      <c r="H472" s="34">
        <v>466989.66869999998</v>
      </c>
      <c r="I472" s="34">
        <v>319649.37398999999</v>
      </c>
      <c r="J472" s="115">
        <f t="shared" si="77"/>
        <v>0.68448917698722533</v>
      </c>
      <c r="K472" s="35">
        <f t="shared" si="78"/>
        <v>466989.66869999998</v>
      </c>
      <c r="L472" s="34">
        <f t="shared" si="79"/>
        <v>319649.37398999999</v>
      </c>
      <c r="M472" s="115">
        <f t="shared" si="76"/>
        <v>0.68448917698722533</v>
      </c>
      <c r="N472" s="37" t="e">
        <f>#N/A</f>
        <v>#N/A</v>
      </c>
    </row>
    <row r="473" spans="1:24" s="130" customFormat="1" ht="19.5" customHeight="1" x14ac:dyDescent="0.25">
      <c r="A473" s="146" t="s">
        <v>615</v>
      </c>
      <c r="B473" s="438">
        <v>3220</v>
      </c>
      <c r="C473" s="117"/>
      <c r="D473" s="586"/>
      <c r="E473" s="117"/>
      <c r="F473" s="115"/>
      <c r="G473" s="581" t="str">
        <f t="shared" si="75"/>
        <v/>
      </c>
      <c r="H473" s="34">
        <f>H420+H419+H411</f>
        <v>190223.10856999998</v>
      </c>
      <c r="I473" s="34">
        <f>I420+I419+I411</f>
        <v>141486.04239000002</v>
      </c>
      <c r="J473" s="115">
        <f t="shared" si="77"/>
        <v>0.74378998142559916</v>
      </c>
      <c r="K473" s="35">
        <f t="shared" si="78"/>
        <v>190223.10856999998</v>
      </c>
      <c r="L473" s="34">
        <f t="shared" si="79"/>
        <v>141486.04239000002</v>
      </c>
      <c r="M473" s="115">
        <f t="shared" si="76"/>
        <v>0.74378998142559916</v>
      </c>
      <c r="N473" s="37" t="e">
        <f>#N/A</f>
        <v>#N/A</v>
      </c>
    </row>
    <row r="474" spans="1:24" s="130" customFormat="1" ht="14.25" hidden="1" customHeight="1" x14ac:dyDescent="0.25">
      <c r="A474" s="838" t="s">
        <v>616</v>
      </c>
      <c r="B474" s="836">
        <v>3240</v>
      </c>
      <c r="C474" s="698"/>
      <c r="D474" s="440"/>
      <c r="E474" s="698"/>
      <c r="F474" s="650"/>
      <c r="G474" s="183" t="str">
        <f t="shared" si="75"/>
        <v/>
      </c>
      <c r="H474" s="699">
        <v>0</v>
      </c>
      <c r="I474" s="699">
        <v>0</v>
      </c>
      <c r="J474" s="745" t="str">
        <f t="shared" si="77"/>
        <v/>
      </c>
      <c r="K474" s="839">
        <f t="shared" si="78"/>
        <v>0</v>
      </c>
      <c r="L474" s="730">
        <f t="shared" si="79"/>
        <v>0</v>
      </c>
      <c r="M474" s="745" t="str">
        <f t="shared" si="76"/>
        <v/>
      </c>
      <c r="N474" s="37" t="e">
        <f>#N/A</f>
        <v>#N/A</v>
      </c>
    </row>
    <row r="475" spans="1:24" ht="12.75" customHeight="1" x14ac:dyDescent="0.25">
      <c r="A475" s="432" t="s">
        <v>616</v>
      </c>
      <c r="B475" s="439">
        <v>3240</v>
      </c>
      <c r="C475" s="70"/>
      <c r="D475" s="590"/>
      <c r="E475" s="70"/>
      <c r="F475" s="118"/>
      <c r="G475" s="610" t="str">
        <f t="shared" si="75"/>
        <v/>
      </c>
      <c r="H475" s="117">
        <v>149049.55799999999</v>
      </c>
      <c r="I475" s="117">
        <v>84935.27943000001</v>
      </c>
      <c r="J475" s="115">
        <f t="shared" si="77"/>
        <v>0.56984589937529384</v>
      </c>
      <c r="K475" s="35">
        <f t="shared" si="78"/>
        <v>149049.55799999999</v>
      </c>
      <c r="L475" s="34">
        <f t="shared" si="79"/>
        <v>84935.27943000001</v>
      </c>
      <c r="M475" s="115">
        <f t="shared" si="76"/>
        <v>0.56984589937529384</v>
      </c>
      <c r="N475" s="37" t="e">
        <f>#N/A</f>
        <v>#N/A</v>
      </c>
    </row>
    <row r="476" spans="1:24" s="27" customFormat="1" ht="16.5" customHeight="1" x14ac:dyDescent="0.25">
      <c r="A476" s="441" t="s">
        <v>617</v>
      </c>
      <c r="B476" s="369">
        <v>9000</v>
      </c>
      <c r="C476" s="30">
        <f>C393</f>
        <v>1347.94</v>
      </c>
      <c r="D476" s="578"/>
      <c r="E476" s="318">
        <v>0</v>
      </c>
      <c r="F476" s="76"/>
      <c r="G476" s="584" t="str">
        <f t="shared" si="75"/>
        <v/>
      </c>
      <c r="H476" s="323"/>
      <c r="I476" s="323"/>
      <c r="J476" s="115" t="str">
        <f t="shared" si="77"/>
        <v/>
      </c>
      <c r="K476" s="23">
        <f>SUM(H476,C476)</f>
        <v>1347.94</v>
      </c>
      <c r="L476" s="23">
        <f>SUM(I476,E476)</f>
        <v>0</v>
      </c>
      <c r="M476" s="115">
        <f t="shared" si="76"/>
        <v>0</v>
      </c>
      <c r="N476" s="37" t="e">
        <f>#N/A</f>
        <v>#N/A</v>
      </c>
    </row>
    <row r="477" spans="1:24" ht="15" hidden="1" customHeight="1" x14ac:dyDescent="0.25">
      <c r="A477" s="840" t="s">
        <v>618</v>
      </c>
      <c r="B477" s="841">
        <v>4000</v>
      </c>
      <c r="C477" s="156"/>
      <c r="D477" s="156"/>
      <c r="E477" s="156"/>
      <c r="F477" s="645"/>
      <c r="G477" s="63" t="str">
        <f t="shared" si="75"/>
        <v/>
      </c>
      <c r="H477" s="156"/>
      <c r="I477" s="156"/>
      <c r="J477" s="645" t="str">
        <f t="shared" si="77"/>
        <v/>
      </c>
      <c r="K477" s="646" t="e">
        <f>#N/A</f>
        <v>#N/A</v>
      </c>
      <c r="L477" s="646" t="e">
        <f>#N/A</f>
        <v>#N/A</v>
      </c>
      <c r="M477" s="645" t="str">
        <f t="shared" si="76"/>
        <v/>
      </c>
      <c r="N477" s="37" t="e">
        <f>#N/A</f>
        <v>#N/A</v>
      </c>
    </row>
    <row r="478" spans="1:24" s="273" customFormat="1" ht="15.75" customHeight="1" x14ac:dyDescent="0.25">
      <c r="A478" s="269" t="s">
        <v>619</v>
      </c>
      <c r="B478" s="442">
        <v>900203</v>
      </c>
      <c r="C478" s="443">
        <f>SUM(C424,C456,C476,C477)</f>
        <v>3663286.4023419996</v>
      </c>
      <c r="D478" s="612">
        <f>SUM(D424,D456,D476,D477)</f>
        <v>2715850.0646100002</v>
      </c>
      <c r="E478" s="443">
        <f>SUM(E424,E456,E476,E477)</f>
        <v>2664095.2961200005</v>
      </c>
      <c r="F478" s="271">
        <f>E478/C478</f>
        <v>0.72724188161122216</v>
      </c>
      <c r="G478" s="596">
        <f t="shared" si="75"/>
        <v>0.98094343676611184</v>
      </c>
      <c r="H478" s="443">
        <f>SUM(H424,H456,H476,H477)</f>
        <v>1485634.6084400001</v>
      </c>
      <c r="I478" s="443">
        <f>SUM(I424,I456,I476,I477)</f>
        <v>873809.19147000008</v>
      </c>
      <c r="J478" s="271">
        <f t="shared" si="77"/>
        <v>0.58817234500719451</v>
      </c>
      <c r="K478" s="190">
        <f>SUM(H478,C478)</f>
        <v>5148921.0107819997</v>
      </c>
      <c r="L478" s="190">
        <f>SUM(I478,E478)</f>
        <v>3537904.4875900005</v>
      </c>
      <c r="M478" s="271">
        <f t="shared" si="76"/>
        <v>0.68711570447119297</v>
      </c>
      <c r="N478" s="37" t="e">
        <f>#N/A</f>
        <v>#N/A</v>
      </c>
      <c r="O478" s="444"/>
      <c r="P478" s="272"/>
      <c r="Q478" s="272">
        <f>E422-E478</f>
        <v>0</v>
      </c>
      <c r="R478" s="272">
        <f>F422-F478</f>
        <v>0</v>
      </c>
      <c r="S478" s="272">
        <f>G422-G478</f>
        <v>0</v>
      </c>
      <c r="T478" s="272">
        <f>H422-H478</f>
        <v>0</v>
      </c>
      <c r="U478" s="272"/>
      <c r="V478" s="272"/>
      <c r="W478" s="272"/>
      <c r="X478" s="272"/>
    </row>
    <row r="479" spans="1:24" ht="19.5" customHeight="1" x14ac:dyDescent="0.25">
      <c r="A479" s="274" t="s">
        <v>620</v>
      </c>
      <c r="B479" s="445"/>
      <c r="C479" s="75">
        <f>C422-C478</f>
        <v>0</v>
      </c>
      <c r="D479" s="582">
        <f>D422-D478</f>
        <v>0</v>
      </c>
      <c r="E479" s="75">
        <f>E422-E478</f>
        <v>0</v>
      </c>
      <c r="F479" s="76"/>
      <c r="G479" s="584" t="str">
        <f t="shared" si="75"/>
        <v/>
      </c>
      <c r="H479" s="75">
        <f>H422-H478</f>
        <v>0</v>
      </c>
      <c r="I479" s="75">
        <f>I422-I478</f>
        <v>0</v>
      </c>
      <c r="J479" s="271" t="str">
        <f t="shared" si="77"/>
        <v/>
      </c>
      <c r="K479" s="75">
        <f>K422-K478</f>
        <v>0</v>
      </c>
      <c r="L479" s="75">
        <f>L422-L478</f>
        <v>0</v>
      </c>
      <c r="M479" s="271" t="str">
        <f t="shared" si="76"/>
        <v/>
      </c>
      <c r="N479" s="37">
        <v>1</v>
      </c>
      <c r="O479" s="446">
        <f>C478-C422</f>
        <v>0</v>
      </c>
      <c r="P479" s="446">
        <f>I478-I422</f>
        <v>0</v>
      </c>
    </row>
    <row r="480" spans="1:24" ht="20.25" hidden="1" customHeight="1" x14ac:dyDescent="0.25">
      <c r="A480" s="842" t="s">
        <v>621</v>
      </c>
      <c r="B480" s="495"/>
      <c r="C480" s="843"/>
      <c r="D480" s="447"/>
      <c r="E480" s="843"/>
      <c r="F480" s="844"/>
      <c r="G480" s="54" t="str">
        <f t="shared" si="75"/>
        <v/>
      </c>
      <c r="H480" s="845"/>
      <c r="I480" s="843"/>
      <c r="J480" s="846" t="str">
        <f t="shared" si="77"/>
        <v/>
      </c>
      <c r="K480" s="769"/>
      <c r="L480" s="769"/>
      <c r="M480" s="846" t="str">
        <f t="shared" si="76"/>
        <v/>
      </c>
      <c r="N480" s="37">
        <v>1</v>
      </c>
      <c r="O480" s="446">
        <f>E478-E422</f>
        <v>0</v>
      </c>
      <c r="P480" s="446">
        <f>H478-H422</f>
        <v>0</v>
      </c>
    </row>
    <row r="481" spans="1:16" ht="25.5" hidden="1" customHeight="1" x14ac:dyDescent="0.25">
      <c r="A481" s="449" t="s">
        <v>622</v>
      </c>
      <c r="B481" s="450">
        <v>7400</v>
      </c>
      <c r="C481" s="451"/>
      <c r="D481" s="451"/>
      <c r="E481" s="451"/>
      <c r="F481" s="452"/>
      <c r="G481" s="452" t="str">
        <f t="shared" si="75"/>
        <v/>
      </c>
      <c r="H481" s="451">
        <f>H482+H483</f>
        <v>0</v>
      </c>
      <c r="I481" s="453">
        <f>I482+I483</f>
        <v>0</v>
      </c>
      <c r="J481" s="452" t="str">
        <f t="shared" si="77"/>
        <v/>
      </c>
      <c r="K481" s="454">
        <f>C481+H481</f>
        <v>0</v>
      </c>
      <c r="L481" s="454">
        <f>SUM(I481,E481)</f>
        <v>0</v>
      </c>
      <c r="M481" s="452" t="str">
        <f t="shared" si="76"/>
        <v/>
      </c>
      <c r="N481" s="37"/>
      <c r="O481" s="198"/>
    </row>
    <row r="482" spans="1:16" ht="23.25" hidden="1" customHeight="1" x14ac:dyDescent="0.25">
      <c r="A482" s="455" t="s">
        <v>623</v>
      </c>
      <c r="B482" s="456">
        <v>7480</v>
      </c>
      <c r="C482" s="448"/>
      <c r="D482" s="448"/>
      <c r="E482" s="448"/>
      <c r="F482" s="251"/>
      <c r="G482" s="251" t="str">
        <f t="shared" si="75"/>
        <v/>
      </c>
      <c r="H482" s="297"/>
      <c r="I482" s="457"/>
      <c r="J482" s="458" t="str">
        <f t="shared" si="77"/>
        <v/>
      </c>
      <c r="K482" s="254" t="e">
        <f>#N/A</f>
        <v>#N/A</v>
      </c>
      <c r="L482" s="254">
        <f>SUM(I482,E482)</f>
        <v>0</v>
      </c>
      <c r="M482" s="285" t="str">
        <f t="shared" si="76"/>
        <v/>
      </c>
      <c r="N482" s="37"/>
      <c r="O482" s="198"/>
    </row>
    <row r="483" spans="1:16" ht="20.25" hidden="1" customHeight="1" x14ac:dyDescent="0.25">
      <c r="A483" s="700" t="s">
        <v>624</v>
      </c>
      <c r="B483" s="701">
        <v>7490</v>
      </c>
      <c r="C483" s="459"/>
      <c r="D483" s="459"/>
      <c r="E483" s="459"/>
      <c r="F483" s="702"/>
      <c r="G483" s="251" t="str">
        <f t="shared" si="75"/>
        <v/>
      </c>
      <c r="H483" s="316"/>
      <c r="I483" s="460"/>
      <c r="J483" s="703" t="str">
        <f t="shared" si="77"/>
        <v/>
      </c>
      <c r="K483" s="267" t="e">
        <f>#N/A</f>
        <v>#N/A</v>
      </c>
      <c r="L483" s="267">
        <f>SUM(I483,E483)</f>
        <v>0</v>
      </c>
      <c r="M483" s="671" t="str">
        <f t="shared" si="76"/>
        <v/>
      </c>
      <c r="N483" s="37"/>
      <c r="O483" s="198"/>
    </row>
    <row r="484" spans="1:16" s="171" customFormat="1" ht="15" customHeight="1" x14ac:dyDescent="0.25">
      <c r="A484" s="404" t="s">
        <v>625</v>
      </c>
      <c r="B484" s="445">
        <v>8000</v>
      </c>
      <c r="C484" s="323">
        <f>SUBTOTAL(9,C486:C492)</f>
        <v>16796.142</v>
      </c>
      <c r="D484" s="603">
        <f t="shared" ref="D484:I484" si="80">SUBTOTAL(9,D486:D492)</f>
        <v>16796.142</v>
      </c>
      <c r="E484" s="323">
        <f t="shared" si="80"/>
        <v>15776.477000000001</v>
      </c>
      <c r="F484" s="461">
        <f>E484/C484</f>
        <v>0.93929171353754937</v>
      </c>
      <c r="G484" s="580">
        <f t="shared" si="75"/>
        <v>0.93929171353754937</v>
      </c>
      <c r="H484" s="323">
        <f t="shared" si="80"/>
        <v>-1821.6980000000001</v>
      </c>
      <c r="I484" s="323">
        <f t="shared" si="80"/>
        <v>-2724.3351299999999</v>
      </c>
      <c r="J484" s="31">
        <f t="shared" si="77"/>
        <v>1.4954921891553923</v>
      </c>
      <c r="K484" s="323">
        <f t="shared" ref="K484:K494" si="81">SUM(H484,C484)</f>
        <v>14974.444</v>
      </c>
      <c r="L484" s="323">
        <f>SUBTOTAL(9,L486:L492)</f>
        <v>13052.141870000001</v>
      </c>
      <c r="M484" s="31">
        <f t="shared" si="76"/>
        <v>0.87162781269207734</v>
      </c>
      <c r="N484" s="37">
        <f>SUM(C484:M484)</f>
        <v>72853.559443428938</v>
      </c>
    </row>
    <row r="485" spans="1:16" s="130" customFormat="1" ht="15.75" customHeight="1" x14ac:dyDescent="0.25">
      <c r="A485" s="462" t="s">
        <v>626</v>
      </c>
      <c r="B485" s="463">
        <v>8800</v>
      </c>
      <c r="C485" s="464">
        <f>C486+C487+C492+C489</f>
        <v>16796.142</v>
      </c>
      <c r="D485" s="582">
        <f>D486+D487+D492</f>
        <v>16796.142</v>
      </c>
      <c r="E485" s="464">
        <f>E486+E487+E492</f>
        <v>15776.477000000001</v>
      </c>
      <c r="F485" s="461">
        <f>E485/C485</f>
        <v>0.93929171353754937</v>
      </c>
      <c r="G485" s="580">
        <f t="shared" si="75"/>
        <v>0.93929171353754937</v>
      </c>
      <c r="H485" s="464">
        <f>H486+H487+H492</f>
        <v>-1821.6980000000001</v>
      </c>
      <c r="I485" s="464">
        <f>I486+I487+I492+I488</f>
        <v>-2724.3351299999999</v>
      </c>
      <c r="J485" s="31">
        <f t="shared" si="77"/>
        <v>1.4954921891553923</v>
      </c>
      <c r="K485" s="570">
        <f t="shared" si="81"/>
        <v>14974.444</v>
      </c>
      <c r="L485" s="570">
        <f t="shared" ref="L485:L494" si="82">SUM(I485,E485)</f>
        <v>13052.141870000001</v>
      </c>
      <c r="M485" s="31">
        <f t="shared" si="76"/>
        <v>0.87162781269207734</v>
      </c>
      <c r="N485" s="37"/>
    </row>
    <row r="486" spans="1:16" s="130" customFormat="1" ht="15" customHeight="1" x14ac:dyDescent="0.25">
      <c r="A486" s="465" t="s">
        <v>627</v>
      </c>
      <c r="B486" s="466" t="s">
        <v>628</v>
      </c>
      <c r="C486" s="34">
        <v>16796.142</v>
      </c>
      <c r="D486" s="80">
        <v>16796.142</v>
      </c>
      <c r="E486" s="34">
        <v>15776.477000000001</v>
      </c>
      <c r="F486" s="19">
        <f>E486/C486</f>
        <v>0.93929171353754937</v>
      </c>
      <c r="G486" s="581">
        <f t="shared" si="75"/>
        <v>0.93929171353754937</v>
      </c>
      <c r="H486" s="34">
        <v>1278.3019999999999</v>
      </c>
      <c r="I486" s="34">
        <v>299.33100000000002</v>
      </c>
      <c r="J486" s="31">
        <f t="shared" si="77"/>
        <v>0.23416297557228263</v>
      </c>
      <c r="K486" s="34">
        <f t="shared" si="81"/>
        <v>18074.444</v>
      </c>
      <c r="L486" s="34">
        <f t="shared" si="82"/>
        <v>16075.808000000001</v>
      </c>
      <c r="M486" s="31">
        <f t="shared" si="76"/>
        <v>0.88942199273183731</v>
      </c>
      <c r="N486" s="37" t="e">
        <f>#N/A</f>
        <v>#N/A</v>
      </c>
    </row>
    <row r="487" spans="1:16" s="130" customFormat="1" ht="18" customHeight="1" x14ac:dyDescent="0.25">
      <c r="A487" s="465" t="s">
        <v>629</v>
      </c>
      <c r="B487" s="468" t="s">
        <v>630</v>
      </c>
      <c r="C487" s="303">
        <v>0</v>
      </c>
      <c r="D487" s="613"/>
      <c r="E487" s="303"/>
      <c r="F487" s="31"/>
      <c r="G487" s="581" t="str">
        <f t="shared" si="75"/>
        <v/>
      </c>
      <c r="H487" s="34">
        <v>-3100</v>
      </c>
      <c r="I487" s="34">
        <v>-5127.4247100000002</v>
      </c>
      <c r="J487" s="115">
        <f t="shared" si="77"/>
        <v>1.654007970967742</v>
      </c>
      <c r="K487" s="34">
        <f t="shared" si="81"/>
        <v>-3100</v>
      </c>
      <c r="L487" s="34">
        <f t="shared" si="82"/>
        <v>-5127.4247100000002</v>
      </c>
      <c r="M487" s="31">
        <f t="shared" si="76"/>
        <v>1.654007970967742</v>
      </c>
      <c r="N487" s="37" t="e">
        <f>#N/A</f>
        <v>#N/A</v>
      </c>
      <c r="O487"/>
    </row>
    <row r="488" spans="1:16" s="130" customFormat="1" ht="29.25" hidden="1" customHeight="1" x14ac:dyDescent="0.25">
      <c r="A488" s="847" t="s">
        <v>631</v>
      </c>
      <c r="B488" s="848">
        <v>8852</v>
      </c>
      <c r="C488" s="470"/>
      <c r="D488" s="471"/>
      <c r="E488" s="470"/>
      <c r="F488" s="764"/>
      <c r="G488" s="111" t="str">
        <f t="shared" si="75"/>
        <v/>
      </c>
      <c r="H488" s="849">
        <v>0</v>
      </c>
      <c r="I488" s="849">
        <v>0</v>
      </c>
      <c r="J488" s="764" t="str">
        <f t="shared" si="77"/>
        <v/>
      </c>
      <c r="K488" s="850">
        <f t="shared" si="81"/>
        <v>0</v>
      </c>
      <c r="L488" s="850">
        <f t="shared" si="82"/>
        <v>0</v>
      </c>
      <c r="M488" s="851" t="str">
        <f t="shared" si="76"/>
        <v/>
      </c>
      <c r="N488" s="37"/>
    </row>
    <row r="489" spans="1:16" s="130" customFormat="1" ht="27.75" hidden="1" customHeight="1" x14ac:dyDescent="0.25">
      <c r="A489" s="465" t="s">
        <v>632</v>
      </c>
      <c r="B489" s="468">
        <v>8860</v>
      </c>
      <c r="C489" s="475">
        <f>C490+C491</f>
        <v>0</v>
      </c>
      <c r="D489" s="475">
        <f>D490+D491</f>
        <v>0</v>
      </c>
      <c r="E489" s="475">
        <f>E490+E491</f>
        <v>0</v>
      </c>
      <c r="F489" s="152"/>
      <c r="G489" s="111" t="str">
        <f t="shared" si="75"/>
        <v/>
      </c>
      <c r="H489" s="472"/>
      <c r="I489" s="472"/>
      <c r="J489" s="152" t="str">
        <f t="shared" si="77"/>
        <v/>
      </c>
      <c r="K489" s="473">
        <f t="shared" si="81"/>
        <v>0</v>
      </c>
      <c r="L489" s="473">
        <f t="shared" si="82"/>
        <v>0</v>
      </c>
      <c r="M489" s="474" t="str">
        <f t="shared" si="76"/>
        <v/>
      </c>
      <c r="N489" s="37"/>
    </row>
    <row r="490" spans="1:16" s="130" customFormat="1" ht="18" hidden="1" customHeight="1" x14ac:dyDescent="0.25">
      <c r="A490" s="465" t="s">
        <v>633</v>
      </c>
      <c r="B490" s="468">
        <v>8861</v>
      </c>
      <c r="C490" s="475"/>
      <c r="D490" s="476"/>
      <c r="E490" s="475">
        <v>0</v>
      </c>
      <c r="F490" s="152"/>
      <c r="G490" s="111" t="str">
        <f t="shared" si="75"/>
        <v/>
      </c>
      <c r="H490" s="472"/>
      <c r="I490" s="472"/>
      <c r="J490" s="152" t="str">
        <f t="shared" si="77"/>
        <v/>
      </c>
      <c r="K490" s="473">
        <f t="shared" si="81"/>
        <v>0</v>
      </c>
      <c r="L490" s="473">
        <f t="shared" si="82"/>
        <v>0</v>
      </c>
      <c r="M490" s="474" t="str">
        <f t="shared" si="76"/>
        <v/>
      </c>
      <c r="N490" s="37"/>
    </row>
    <row r="491" spans="1:16" s="130" customFormat="1" ht="21.75" hidden="1" customHeight="1" x14ac:dyDescent="0.25">
      <c r="A491" s="704" t="s">
        <v>634</v>
      </c>
      <c r="B491" s="705">
        <v>8862</v>
      </c>
      <c r="C491" s="477"/>
      <c r="D491" s="478"/>
      <c r="E491" s="477"/>
      <c r="F491" s="572"/>
      <c r="G491" s="111" t="str">
        <f t="shared" si="75"/>
        <v/>
      </c>
      <c r="H491" s="706"/>
      <c r="I491" s="706"/>
      <c r="J491" s="572" t="str">
        <f t="shared" si="77"/>
        <v/>
      </c>
      <c r="K491" s="707">
        <f t="shared" si="81"/>
        <v>0</v>
      </c>
      <c r="L491" s="707">
        <f t="shared" si="82"/>
        <v>0</v>
      </c>
      <c r="M491" s="708" t="str">
        <f t="shared" si="76"/>
        <v/>
      </c>
      <c r="N491" s="37"/>
    </row>
    <row r="492" spans="1:16" s="130" customFormat="1" ht="43.2" customHeight="1" x14ac:dyDescent="0.25">
      <c r="A492" s="465" t="s">
        <v>623</v>
      </c>
      <c r="B492" s="468">
        <v>8880</v>
      </c>
      <c r="C492" s="303"/>
      <c r="D492" s="613"/>
      <c r="E492" s="303"/>
      <c r="F492" s="31"/>
      <c r="G492" s="581" t="str">
        <f t="shared" si="75"/>
        <v/>
      </c>
      <c r="H492" s="561">
        <f>H493+H494</f>
        <v>0</v>
      </c>
      <c r="I492" s="561">
        <v>2103.7585800000002</v>
      </c>
      <c r="J492" s="115" t="str">
        <f t="shared" si="77"/>
        <v/>
      </c>
      <c r="K492" s="34">
        <f t="shared" si="81"/>
        <v>0</v>
      </c>
      <c r="L492" s="34">
        <f t="shared" si="82"/>
        <v>2103.7585800000002</v>
      </c>
      <c r="M492" s="571" t="str">
        <f t="shared" si="76"/>
        <v/>
      </c>
      <c r="N492" s="37"/>
      <c r="P492" s="160"/>
    </row>
    <row r="493" spans="1:16" s="130" customFormat="1" ht="31.8" customHeight="1" x14ac:dyDescent="0.25">
      <c r="A493" s="465" t="s">
        <v>635</v>
      </c>
      <c r="B493" s="468">
        <v>8881</v>
      </c>
      <c r="C493" s="303"/>
      <c r="D493" s="613"/>
      <c r="E493" s="303"/>
      <c r="F493" s="31"/>
      <c r="G493" s="581" t="str">
        <f t="shared" si="75"/>
        <v/>
      </c>
      <c r="H493" s="34">
        <v>85703.341</v>
      </c>
      <c r="I493" s="34">
        <v>16616.871279999999</v>
      </c>
      <c r="J493" s="115">
        <f t="shared" si="77"/>
        <v>0.19388825553486883</v>
      </c>
      <c r="K493" s="34">
        <f t="shared" si="81"/>
        <v>85703.341</v>
      </c>
      <c r="L493" s="34">
        <f t="shared" si="82"/>
        <v>16616.871279999999</v>
      </c>
      <c r="M493" s="115">
        <f t="shared" si="76"/>
        <v>0.19388825553486883</v>
      </c>
      <c r="N493" s="37"/>
    </row>
    <row r="494" spans="1:16" s="130" customFormat="1" ht="27.75" customHeight="1" x14ac:dyDescent="0.25">
      <c r="A494" s="465" t="s">
        <v>636</v>
      </c>
      <c r="B494" s="468">
        <v>8882</v>
      </c>
      <c r="C494" s="303"/>
      <c r="D494" s="613"/>
      <c r="E494" s="303"/>
      <c r="F494" s="31"/>
      <c r="G494" s="581" t="str">
        <f t="shared" si="75"/>
        <v/>
      </c>
      <c r="H494" s="34">
        <v>-85703.341</v>
      </c>
      <c r="I494" s="34">
        <v>-14513.1127</v>
      </c>
      <c r="J494" s="115">
        <f t="shared" si="77"/>
        <v>0.16934127107133432</v>
      </c>
      <c r="K494" s="34">
        <f t="shared" si="81"/>
        <v>-85703.341</v>
      </c>
      <c r="L494" s="34">
        <f t="shared" si="82"/>
        <v>-14513.1127</v>
      </c>
      <c r="M494" s="115">
        <f t="shared" si="76"/>
        <v>0.16934127107133432</v>
      </c>
      <c r="N494" s="37"/>
    </row>
    <row r="495" spans="1:16" s="273" customFormat="1" ht="20.25" customHeight="1" x14ac:dyDescent="0.25">
      <c r="A495" s="479" t="s">
        <v>637</v>
      </c>
      <c r="B495" s="480">
        <v>900201</v>
      </c>
      <c r="C495" s="281">
        <f>SUBTOTAL(9,C486:C487)</f>
        <v>16796.142</v>
      </c>
      <c r="D495" s="605">
        <f>SUBTOTAL(9,D486:D487)</f>
        <v>16796.142</v>
      </c>
      <c r="E495" s="281">
        <f>SUBTOTAL(9,E486:E487)</f>
        <v>15776.477000000001</v>
      </c>
      <c r="F495" s="31">
        <f>E495/C495</f>
        <v>0.93929171353754937</v>
      </c>
      <c r="G495" s="589">
        <f t="shared" si="75"/>
        <v>0.93929171353754937</v>
      </c>
      <c r="H495" s="281">
        <f>SUBTOTAL(9,H486:H492)</f>
        <v>-1821.6980000000001</v>
      </c>
      <c r="I495" s="281">
        <f>SUBTOTAL(9,I486:I492)</f>
        <v>-2724.3351299999999</v>
      </c>
      <c r="J495" s="31">
        <f t="shared" si="77"/>
        <v>1.4954921891553923</v>
      </c>
      <c r="K495" s="281">
        <f>SUBTOTAL(9,K486:K487)+K492</f>
        <v>14974.444</v>
      </c>
      <c r="L495" s="281">
        <f>SUBTOTAL(9,L486:L487)+L492+L488</f>
        <v>13052.141870000001</v>
      </c>
      <c r="M495" s="31">
        <f t="shared" si="76"/>
        <v>0.87162781269207734</v>
      </c>
      <c r="N495" s="37" t="e">
        <f>#N/A</f>
        <v>#N/A</v>
      </c>
    </row>
    <row r="496" spans="1:16" ht="20.25" hidden="1" customHeight="1" x14ac:dyDescent="0.25">
      <c r="A496" s="716" t="s">
        <v>638</v>
      </c>
      <c r="B496" s="852"/>
      <c r="C496" s="481"/>
      <c r="D496" s="481"/>
      <c r="E496" s="481"/>
      <c r="F496" s="853"/>
      <c r="G496" s="482" t="str">
        <f t="shared" si="75"/>
        <v/>
      </c>
      <c r="H496" s="483"/>
      <c r="I496" s="483"/>
      <c r="J496" s="854" t="str">
        <f t="shared" si="77"/>
        <v/>
      </c>
      <c r="K496" s="855"/>
      <c r="L496" s="855"/>
      <c r="M496" s="854" t="str">
        <f t="shared" si="76"/>
        <v/>
      </c>
      <c r="N496" s="37" t="e">
        <f>#N/A</f>
        <v>#N/A</v>
      </c>
    </row>
    <row r="497" spans="1:21" s="171" customFormat="1" ht="15.75" customHeight="1" x14ac:dyDescent="0.25">
      <c r="A497" s="484" t="s">
        <v>639</v>
      </c>
      <c r="B497" s="485">
        <v>4000</v>
      </c>
      <c r="C497" s="281">
        <f>SUBTOTAL(9,C498:C499)</f>
        <v>16796.142</v>
      </c>
      <c r="D497" s="605">
        <f>SUBTOTAL(9,D498:D499)</f>
        <v>16796.142</v>
      </c>
      <c r="E497" s="281">
        <f>SUBTOTAL(9,E498:E499)</f>
        <v>15776.477000000001</v>
      </c>
      <c r="F497" s="31">
        <f>E497/C497</f>
        <v>0.93929171353754937</v>
      </c>
      <c r="G497" s="589">
        <f t="shared" si="75"/>
        <v>0.93929171353754937</v>
      </c>
      <c r="H497" s="281">
        <f>SUBTOTAL(9,H498:H499)</f>
        <v>-1821.698000000004</v>
      </c>
      <c r="I497" s="281">
        <f>SUBTOTAL(9,I498:I499)</f>
        <v>-2724.3351300000031</v>
      </c>
      <c r="J497" s="31">
        <f t="shared" si="77"/>
        <v>1.4954921891553909</v>
      </c>
      <c r="K497" s="281">
        <f>SUBTOTAL(9,K498:K499)</f>
        <v>14974.444000000003</v>
      </c>
      <c r="L497" s="281">
        <f>L498+L499</f>
        <v>13052.141869999996</v>
      </c>
      <c r="M497" s="31">
        <f t="shared" si="76"/>
        <v>0.87162781269207679</v>
      </c>
      <c r="N497" s="37" t="e">
        <f>#N/A</f>
        <v>#N/A</v>
      </c>
    </row>
    <row r="498" spans="1:21" ht="13.5" customHeight="1" x14ac:dyDescent="0.25">
      <c r="A498" s="41" t="s">
        <v>640</v>
      </c>
      <c r="B498" s="466">
        <v>4110</v>
      </c>
      <c r="C498" s="34">
        <f>C486</f>
        <v>16796.142</v>
      </c>
      <c r="D498" s="80">
        <f>D486</f>
        <v>16796.142</v>
      </c>
      <c r="E498" s="34">
        <f>E486</f>
        <v>15776.477000000001</v>
      </c>
      <c r="F498" s="115">
        <f>E498/C498</f>
        <v>0.93929171353754937</v>
      </c>
      <c r="G498" s="581">
        <f t="shared" si="75"/>
        <v>0.93929171353754937</v>
      </c>
      <c r="H498" s="34">
        <f>H486+H493</f>
        <v>86981.642999999996</v>
      </c>
      <c r="I498" s="34">
        <f>I486+I493</f>
        <v>16916.202279999998</v>
      </c>
      <c r="J498" s="115">
        <f t="shared" si="77"/>
        <v>0.19448014197662372</v>
      </c>
      <c r="K498" s="35">
        <f>SUM(H498,C498)</f>
        <v>103777.785</v>
      </c>
      <c r="L498" s="35">
        <f>SUM(I498,E498)</f>
        <v>32692.679279999997</v>
      </c>
      <c r="M498" s="115">
        <f t="shared" si="76"/>
        <v>0.31502579554959664</v>
      </c>
      <c r="N498" s="37" t="e">
        <f>#N/A</f>
        <v>#N/A</v>
      </c>
    </row>
    <row r="499" spans="1:21" ht="21.75" customHeight="1" x14ac:dyDescent="0.25">
      <c r="A499" s="41" t="s">
        <v>641</v>
      </c>
      <c r="B499" s="466">
        <v>4120</v>
      </c>
      <c r="C499" s="469"/>
      <c r="D499" s="613"/>
      <c r="E499" s="303"/>
      <c r="F499" s="31"/>
      <c r="G499" s="581" t="str">
        <f t="shared" si="75"/>
        <v/>
      </c>
      <c r="H499" s="34">
        <f>H487+H494</f>
        <v>-88803.341</v>
      </c>
      <c r="I499" s="34">
        <f>I487+I494+I488</f>
        <v>-19640.537410000001</v>
      </c>
      <c r="J499" s="115">
        <f t="shared" si="77"/>
        <v>0.22116890185471738</v>
      </c>
      <c r="K499" s="35">
        <f>SUM(H499,C499)</f>
        <v>-88803.341</v>
      </c>
      <c r="L499" s="35">
        <f>SUM(I499,E499)</f>
        <v>-19640.537410000001</v>
      </c>
      <c r="M499" s="115">
        <f t="shared" si="76"/>
        <v>0.22116890185471738</v>
      </c>
      <c r="N499" s="37" t="e">
        <f>#N/A</f>
        <v>#N/A</v>
      </c>
    </row>
    <row r="500" spans="1:21" s="273" customFormat="1" ht="17.25" customHeight="1" x14ac:dyDescent="0.3">
      <c r="A500" s="486" t="s">
        <v>642</v>
      </c>
      <c r="B500" s="480"/>
      <c r="C500" s="390">
        <f>SUBTOTAL(9,C498:C499)</f>
        <v>16796.142</v>
      </c>
      <c r="D500" s="605">
        <f>SUBTOTAL(9,D498:D499)</f>
        <v>16796.142</v>
      </c>
      <c r="E500" s="390">
        <f>SUBTOTAL(9,E498:E499)</f>
        <v>15776.477000000001</v>
      </c>
      <c r="F500" s="31">
        <f>E500/C500</f>
        <v>0.93929171353754937</v>
      </c>
      <c r="G500" s="581">
        <f t="shared" si="75"/>
        <v>0.93929171353754937</v>
      </c>
      <c r="H500" s="390">
        <f>SUBTOTAL(9,H498:H499)</f>
        <v>-1821.698000000004</v>
      </c>
      <c r="I500" s="390">
        <f>SUBTOTAL(9,I498:I499)</f>
        <v>-2724.3351300000031</v>
      </c>
      <c r="J500" s="31">
        <f t="shared" si="77"/>
        <v>1.4954921891553909</v>
      </c>
      <c r="K500" s="390">
        <f>SUBTOTAL(9,K498:K499)</f>
        <v>14974.444000000003</v>
      </c>
      <c r="L500" s="390">
        <f>SUBTOTAL(9,L498:L499)</f>
        <v>13052.141869999996</v>
      </c>
      <c r="M500" s="31">
        <f t="shared" si="76"/>
        <v>0.87162781269207679</v>
      </c>
      <c r="N500" s="37" t="e">
        <f>#N/A</f>
        <v>#N/A</v>
      </c>
    </row>
    <row r="501" spans="1:21" s="487" customFormat="1" ht="32.25" customHeight="1" x14ac:dyDescent="0.3">
      <c r="A501" s="269" t="s">
        <v>643</v>
      </c>
      <c r="B501" s="442"/>
      <c r="C501" s="443">
        <f>C478+C484</f>
        <v>3680082.5443419996</v>
      </c>
      <c r="D501" s="612">
        <f>D478+D484</f>
        <v>2732646.2066100002</v>
      </c>
      <c r="E501" s="443">
        <f>E478+E484</f>
        <v>2679871.7731200005</v>
      </c>
      <c r="F501" s="25">
        <f>E501/C501</f>
        <v>0.72820969117668599</v>
      </c>
      <c r="G501" s="615">
        <f t="shared" si="75"/>
        <v>0.98068742548437349</v>
      </c>
      <c r="H501" s="564">
        <f>H478+H484</f>
        <v>1483812.91044</v>
      </c>
      <c r="I501" s="443">
        <f>I478+I484+I481</f>
        <v>871084.85634000006</v>
      </c>
      <c r="J501" s="271">
        <f t="shared" si="77"/>
        <v>0.58705841566083583</v>
      </c>
      <c r="K501" s="190">
        <f>SUM(H501,C501)</f>
        <v>5163895.4547819998</v>
      </c>
      <c r="L501" s="190">
        <f>SUM(I501,E501)</f>
        <v>3550956.6294600004</v>
      </c>
      <c r="M501" s="271">
        <f>IFERROR(L501/K501,"")</f>
        <v>0.68765075911280404</v>
      </c>
      <c r="N501" s="37" t="e">
        <f>#N/A</f>
        <v>#N/A</v>
      </c>
      <c r="Q501" s="488"/>
      <c r="R501" s="488"/>
      <c r="S501" s="488"/>
      <c r="T501" s="488"/>
    </row>
    <row r="502" spans="1:21" s="27" customFormat="1" ht="22.5" customHeight="1" x14ac:dyDescent="0.25">
      <c r="A502" s="441" t="s">
        <v>644</v>
      </c>
      <c r="B502" s="369">
        <v>900300</v>
      </c>
      <c r="C502" s="23">
        <f>C217-C501</f>
        <v>866883.31665800093</v>
      </c>
      <c r="D502" s="577">
        <f>D217-D501</f>
        <v>600025.35938999942</v>
      </c>
      <c r="E502" s="23">
        <f>E217-E501</f>
        <v>932504.36356999958</v>
      </c>
      <c r="F502" s="25">
        <f>E502/C502</f>
        <v>1.0756976696298415</v>
      </c>
      <c r="G502" s="615">
        <f t="shared" si="75"/>
        <v>1.5541082538878133</v>
      </c>
      <c r="H502" s="23">
        <f>H217-H501</f>
        <v>-958058.84768000001</v>
      </c>
      <c r="I502" s="23">
        <f>I217-I501</f>
        <v>-695834.49530000007</v>
      </c>
      <c r="J502" s="25"/>
      <c r="K502" s="23">
        <f>C502+H502</f>
        <v>-91175.531021999079</v>
      </c>
      <c r="L502" s="23">
        <f>E502+I502</f>
        <v>236669.86826999951</v>
      </c>
      <c r="M502" s="271">
        <f t="shared" ref="M502:M503" si="83">IFERROR(L502/K502,"")</f>
        <v>-2.5957607881976048</v>
      </c>
      <c r="N502" s="490" t="e">
        <f>#N/A</f>
        <v>#N/A</v>
      </c>
      <c r="O502" s="127"/>
    </row>
    <row r="503" spans="1:21" s="171" customFormat="1" ht="20.25" customHeight="1" x14ac:dyDescent="0.25">
      <c r="A503" s="404" t="s">
        <v>645</v>
      </c>
      <c r="B503" s="491"/>
      <c r="C503" s="492">
        <f>C507+C514+C521+C518</f>
        <v>-866883.31666000024</v>
      </c>
      <c r="D503" s="614">
        <f>D507+D514+D521+D518</f>
        <v>-600025.35939</v>
      </c>
      <c r="E503" s="492">
        <f>E507+E514+E521+E518</f>
        <v>-932504.36357000005</v>
      </c>
      <c r="F503" s="115">
        <f>E503/C503</f>
        <v>1.0756976696273612</v>
      </c>
      <c r="G503" s="616">
        <f t="shared" si="75"/>
        <v>1.5541082538878124</v>
      </c>
      <c r="H503" s="492">
        <f>H507+H514+H521+H518+H504+H527</f>
        <v>958058.81568000012</v>
      </c>
      <c r="I503" s="492">
        <f>I507+I514+I521+I518+I504+I527</f>
        <v>695834.49530000007</v>
      </c>
      <c r="J503" s="118"/>
      <c r="K503" s="492">
        <f>C503+H503</f>
        <v>91175.499019999872</v>
      </c>
      <c r="L503" s="492">
        <f>E503+I503</f>
        <v>-236669.86826999998</v>
      </c>
      <c r="M503" s="271">
        <f t="shared" si="83"/>
        <v>-2.5957616992925376</v>
      </c>
      <c r="N503" s="490" t="e">
        <f>#N/A</f>
        <v>#N/A</v>
      </c>
      <c r="O503" s="493">
        <f>H502+H503</f>
        <v>-3.1999999890103936E-2</v>
      </c>
      <c r="P503" s="407">
        <f>E502+E503</f>
        <v>0</v>
      </c>
      <c r="U503" s="407">
        <f>I502+I503</f>
        <v>0</v>
      </c>
    </row>
    <row r="504" spans="1:21" ht="20.25" hidden="1" customHeight="1" x14ac:dyDescent="0.25">
      <c r="A504" s="494" t="s">
        <v>646</v>
      </c>
      <c r="B504" s="495">
        <v>202000</v>
      </c>
      <c r="C504" s="132">
        <f>C505</f>
        <v>0</v>
      </c>
      <c r="D504" s="132">
        <f>D505</f>
        <v>0</v>
      </c>
      <c r="E504" s="132">
        <f>E505</f>
        <v>0</v>
      </c>
      <c r="F504" s="496"/>
      <c r="G504" s="148"/>
      <c r="H504" s="132">
        <f>H505</f>
        <v>0</v>
      </c>
      <c r="I504" s="132">
        <f>I505</f>
        <v>0</v>
      </c>
      <c r="J504" s="496" t="str">
        <f t="shared" si="77"/>
        <v/>
      </c>
      <c r="K504" s="646" t="e">
        <f>#N/A</f>
        <v>#N/A</v>
      </c>
      <c r="L504" s="646" t="e">
        <f>#N/A</f>
        <v>#N/A</v>
      </c>
      <c r="M504" s="496"/>
      <c r="N504" s="37" t="e">
        <f>#N/A</f>
        <v>#N/A</v>
      </c>
    </row>
    <row r="505" spans="1:21" ht="33" hidden="1" customHeight="1" x14ac:dyDescent="0.25">
      <c r="A505" s="497" t="s">
        <v>647</v>
      </c>
      <c r="B505" s="498">
        <v>202200</v>
      </c>
      <c r="C505" s="216">
        <f>C506</f>
        <v>0</v>
      </c>
      <c r="D505" s="216">
        <f>D506</f>
        <v>0</v>
      </c>
      <c r="E505" s="216"/>
      <c r="F505" s="499"/>
      <c r="G505" s="148"/>
      <c r="H505" s="216">
        <f>H506</f>
        <v>0</v>
      </c>
      <c r="I505" s="216">
        <f>I506</f>
        <v>0</v>
      </c>
      <c r="J505" s="499" t="str">
        <f t="shared" si="77"/>
        <v/>
      </c>
      <c r="K505" s="216" t="e">
        <f>#N/A</f>
        <v>#N/A</v>
      </c>
      <c r="L505" s="216" t="e">
        <f>#N/A</f>
        <v>#N/A</v>
      </c>
      <c r="M505" s="63"/>
      <c r="N505" s="37" t="e">
        <f>#N/A</f>
        <v>#N/A</v>
      </c>
    </row>
    <row r="506" spans="1:21" ht="30" hidden="1" customHeight="1" x14ac:dyDescent="0.25">
      <c r="A506" s="277" t="s">
        <v>648</v>
      </c>
      <c r="B506" s="202">
        <v>202220</v>
      </c>
      <c r="C506" s="84"/>
      <c r="D506" s="84"/>
      <c r="E506" s="84"/>
      <c r="F506" s="63"/>
      <c r="G506" s="148"/>
      <c r="H506" s="84">
        <v>0</v>
      </c>
      <c r="I506" s="84">
        <v>0</v>
      </c>
      <c r="J506" s="63" t="str">
        <f t="shared" si="77"/>
        <v/>
      </c>
      <c r="K506" s="216" t="e">
        <f>#N/A</f>
        <v>#N/A</v>
      </c>
      <c r="L506" s="216" t="e">
        <f>#N/A</f>
        <v>#N/A</v>
      </c>
      <c r="M506" s="63"/>
      <c r="N506" s="37" t="e">
        <f>#N/A</f>
        <v>#N/A</v>
      </c>
    </row>
    <row r="507" spans="1:21" s="27" customFormat="1" ht="39" hidden="1" customHeight="1" x14ac:dyDescent="0.25">
      <c r="A507" s="500" t="s">
        <v>649</v>
      </c>
      <c r="B507" s="501">
        <v>203000</v>
      </c>
      <c r="C507" s="502">
        <f>C508</f>
        <v>0</v>
      </c>
      <c r="D507" s="503">
        <f>D508</f>
        <v>0</v>
      </c>
      <c r="E507" s="502">
        <f>E508</f>
        <v>0</v>
      </c>
      <c r="F507" s="504"/>
      <c r="G507" s="148"/>
      <c r="H507" s="502">
        <v>0</v>
      </c>
      <c r="I507" s="502">
        <v>0</v>
      </c>
      <c r="J507" s="504" t="str">
        <f t="shared" si="77"/>
        <v/>
      </c>
      <c r="K507" s="505" t="e">
        <f>#N/A</f>
        <v>#N/A</v>
      </c>
      <c r="L507" s="505" t="e">
        <f>#N/A</f>
        <v>#N/A</v>
      </c>
      <c r="M507" s="148"/>
      <c r="N507" s="37" t="e">
        <f>#N/A</f>
        <v>#N/A</v>
      </c>
    </row>
    <row r="508" spans="1:21" s="27" customFormat="1" ht="39" hidden="1" customHeight="1" x14ac:dyDescent="0.25">
      <c r="A508" s="506" t="s">
        <v>650</v>
      </c>
      <c r="B508" s="507">
        <v>203400</v>
      </c>
      <c r="C508" s="505">
        <f>C509+C510</f>
        <v>0</v>
      </c>
      <c r="D508" s="505">
        <f>D509+D510</f>
        <v>0</v>
      </c>
      <c r="E508" s="505">
        <f>E509+E510</f>
        <v>0</v>
      </c>
      <c r="F508" s="508"/>
      <c r="G508" s="148"/>
      <c r="H508" s="505"/>
      <c r="I508" s="505"/>
      <c r="J508" s="508" t="str">
        <f t="shared" si="77"/>
        <v/>
      </c>
      <c r="K508" s="505" t="e">
        <f>#N/A</f>
        <v>#N/A</v>
      </c>
      <c r="L508" s="505" t="e">
        <f>#N/A</f>
        <v>#N/A</v>
      </c>
      <c r="M508" s="148"/>
      <c r="N508" s="37" t="e">
        <f>#N/A</f>
        <v>#N/A</v>
      </c>
      <c r="O508" s="26"/>
    </row>
    <row r="509" spans="1:21" ht="43.5" hidden="1" customHeight="1" x14ac:dyDescent="0.25">
      <c r="A509" s="98" t="s">
        <v>651</v>
      </c>
      <c r="B509" s="202">
        <v>203410</v>
      </c>
      <c r="C509" s="64"/>
      <c r="D509" s="64"/>
      <c r="E509" s="64"/>
      <c r="F509" s="63"/>
      <c r="G509" s="93"/>
      <c r="H509" s="64"/>
      <c r="I509" s="64"/>
      <c r="J509" s="63" t="str">
        <f t="shared" si="77"/>
        <v/>
      </c>
      <c r="K509" s="509" t="e">
        <f>#N/A</f>
        <v>#N/A</v>
      </c>
      <c r="L509" s="509" t="e">
        <f>#N/A</f>
        <v>#N/A</v>
      </c>
      <c r="M509" s="63"/>
      <c r="N509" s="37" t="e">
        <f>#N/A</f>
        <v>#N/A</v>
      </c>
    </row>
    <row r="510" spans="1:21" ht="40.5" hidden="1" customHeight="1" x14ac:dyDescent="0.25">
      <c r="A510" s="98" t="s">
        <v>652</v>
      </c>
      <c r="B510" s="202">
        <v>203420</v>
      </c>
      <c r="C510" s="64"/>
      <c r="D510" s="64"/>
      <c r="E510" s="64"/>
      <c r="F510" s="63"/>
      <c r="G510" s="93"/>
      <c r="H510" s="64"/>
      <c r="I510" s="64"/>
      <c r="J510" s="63" t="str">
        <f t="shared" ref="J510:J537" si="84">IFERROR(I510/H510,"")</f>
        <v/>
      </c>
      <c r="K510" s="509" t="e">
        <f>#N/A</f>
        <v>#N/A</v>
      </c>
      <c r="L510" s="509" t="e">
        <f>#N/A</f>
        <v>#N/A</v>
      </c>
      <c r="M510" s="63"/>
      <c r="N510" s="37" t="e">
        <f>#N/A</f>
        <v>#N/A</v>
      </c>
    </row>
    <row r="511" spans="1:21" ht="38.25" hidden="1" customHeight="1" x14ac:dyDescent="0.25">
      <c r="A511" s="510" t="s">
        <v>653</v>
      </c>
      <c r="B511" s="511">
        <v>203500</v>
      </c>
      <c r="C511" s="84"/>
      <c r="D511" s="512"/>
      <c r="E511" s="84"/>
      <c r="F511" s="63"/>
      <c r="G511" s="148"/>
      <c r="H511" s="64">
        <f>H513</f>
        <v>0</v>
      </c>
      <c r="I511" s="64">
        <f>I513</f>
        <v>0</v>
      </c>
      <c r="J511" s="63" t="str">
        <f t="shared" si="84"/>
        <v/>
      </c>
      <c r="K511" s="509" t="e">
        <f>#N/A</f>
        <v>#N/A</v>
      </c>
      <c r="L511" s="509" t="e">
        <f>#N/A</f>
        <v>#N/A</v>
      </c>
      <c r="M511" s="63"/>
      <c r="N511" s="37" t="e">
        <f>#N/A</f>
        <v>#N/A</v>
      </c>
    </row>
    <row r="512" spans="1:21" ht="36.75" hidden="1" customHeight="1" x14ac:dyDescent="0.25">
      <c r="A512" s="277" t="s">
        <v>654</v>
      </c>
      <c r="B512" s="202">
        <v>203510</v>
      </c>
      <c r="C512" s="84"/>
      <c r="D512" s="512"/>
      <c r="E512" s="84"/>
      <c r="F512" s="63"/>
      <c r="G512" s="148"/>
      <c r="H512" s="64">
        <v>0</v>
      </c>
      <c r="I512" s="64"/>
      <c r="J512" s="63" t="str">
        <f t="shared" si="84"/>
        <v/>
      </c>
      <c r="K512" s="509" t="e">
        <f>#N/A</f>
        <v>#N/A</v>
      </c>
      <c r="L512" s="509" t="e">
        <f>#N/A</f>
        <v>#N/A</v>
      </c>
      <c r="M512" s="63"/>
      <c r="N512" s="37" t="e">
        <f>#N/A</f>
        <v>#N/A</v>
      </c>
    </row>
    <row r="513" spans="1:21" ht="27" hidden="1" customHeight="1" x14ac:dyDescent="0.25">
      <c r="A513" s="709" t="s">
        <v>648</v>
      </c>
      <c r="B513" s="653">
        <v>203520</v>
      </c>
      <c r="C513" s="216"/>
      <c r="D513" s="513"/>
      <c r="E513" s="216"/>
      <c r="F513" s="499"/>
      <c r="G513" s="148"/>
      <c r="H513" s="509">
        <v>0</v>
      </c>
      <c r="I513" s="509">
        <v>0</v>
      </c>
      <c r="J513" s="499" t="str">
        <f t="shared" si="84"/>
        <v/>
      </c>
      <c r="K513" s="509" t="e">
        <f>#N/A</f>
        <v>#N/A</v>
      </c>
      <c r="L513" s="509" t="e">
        <f>#N/A</f>
        <v>#N/A</v>
      </c>
      <c r="M513" s="499"/>
      <c r="N513" s="37" t="e">
        <f>#N/A</f>
        <v>#N/A</v>
      </c>
    </row>
    <row r="514" spans="1:21" s="27" customFormat="1" ht="24.75" customHeight="1" x14ac:dyDescent="0.25">
      <c r="A514" s="514" t="s">
        <v>655</v>
      </c>
      <c r="B514" s="369">
        <v>205000</v>
      </c>
      <c r="C514" s="23">
        <f>SUM(C515-C516)</f>
        <v>0</v>
      </c>
      <c r="D514" s="577"/>
      <c r="E514" s="23">
        <f>SUM(E515-E516)+E517</f>
        <v>-12327.889880000001</v>
      </c>
      <c r="F514" s="25"/>
      <c r="G514" s="579"/>
      <c r="H514" s="23">
        <f>SUM(H515-H516)+H517</f>
        <v>4386.0859</v>
      </c>
      <c r="I514" s="23">
        <f>I515-I516+I517</f>
        <v>-38433.910279999996</v>
      </c>
      <c r="J514" s="25"/>
      <c r="K514" s="35">
        <f t="shared" ref="K514:K526" si="85">C514+H514</f>
        <v>4386.0859</v>
      </c>
      <c r="L514" s="23">
        <f>E514+I514</f>
        <v>-50761.800159999999</v>
      </c>
      <c r="M514" s="25"/>
      <c r="N514" s="37" t="e">
        <f>#N/A</f>
        <v>#N/A</v>
      </c>
      <c r="O514" s="515">
        <f>C502+C503</f>
        <v>-1.9993167370557785E-6</v>
      </c>
      <c r="P514" s="516">
        <f>D502+D503</f>
        <v>0</v>
      </c>
      <c r="Q514" s="516"/>
      <c r="R514" s="516"/>
      <c r="S514" s="516">
        <f>G502+G503</f>
        <v>3.1082165077756256</v>
      </c>
      <c r="U514" s="127"/>
    </row>
    <row r="515" spans="1:21" ht="21" customHeight="1" x14ac:dyDescent="0.25">
      <c r="A515" s="146" t="s">
        <v>656</v>
      </c>
      <c r="B515" s="217">
        <v>205100</v>
      </c>
      <c r="C515" s="70"/>
      <c r="D515" s="586"/>
      <c r="E515" s="70"/>
      <c r="F515" s="19"/>
      <c r="G515" s="584"/>
      <c r="H515" s="34">
        <v>12276.5159</v>
      </c>
      <c r="I515" s="34">
        <v>12276.5159</v>
      </c>
      <c r="J515" s="19"/>
      <c r="K515" s="35">
        <f t="shared" si="85"/>
        <v>12276.5159</v>
      </c>
      <c r="L515" s="35">
        <f>E515+I515</f>
        <v>12276.5159</v>
      </c>
      <c r="M515" s="19"/>
      <c r="N515" s="37" t="e">
        <f>#N/A</f>
        <v>#N/A</v>
      </c>
      <c r="O515" s="198"/>
    </row>
    <row r="516" spans="1:21" ht="18" customHeight="1" x14ac:dyDescent="0.25">
      <c r="A516" s="41" t="s">
        <v>657</v>
      </c>
      <c r="B516" s="217">
        <v>205200</v>
      </c>
      <c r="C516" s="70"/>
      <c r="D516" s="586"/>
      <c r="E516" s="34">
        <v>12327.889880000001</v>
      </c>
      <c r="F516" s="19"/>
      <c r="G516" s="584"/>
      <c r="H516" s="34">
        <f>8223.968-333.538</f>
        <v>7890.43</v>
      </c>
      <c r="I516" s="34">
        <v>50674.938159999998</v>
      </c>
      <c r="J516" s="19"/>
      <c r="K516" s="35">
        <f t="shared" si="85"/>
        <v>7890.43</v>
      </c>
      <c r="L516" s="35">
        <f t="shared" ref="L516:L523" si="86">E516+I516</f>
        <v>63002.82804</v>
      </c>
      <c r="M516" s="19"/>
      <c r="N516" s="37" t="e">
        <f>#N/A</f>
        <v>#N/A</v>
      </c>
    </row>
    <row r="517" spans="1:21" ht="19.5" customHeight="1" x14ac:dyDescent="0.25">
      <c r="A517" s="41" t="s">
        <v>658</v>
      </c>
      <c r="B517" s="217">
        <v>205300</v>
      </c>
      <c r="C517" s="70"/>
      <c r="D517" s="586"/>
      <c r="E517" s="70">
        <v>0</v>
      </c>
      <c r="F517" s="19"/>
      <c r="G517" s="584"/>
      <c r="H517" s="34"/>
      <c r="I517" s="34">
        <v>-35.488019999999999</v>
      </c>
      <c r="J517" s="19"/>
      <c r="K517" s="35">
        <f t="shared" si="85"/>
        <v>0</v>
      </c>
      <c r="L517" s="35">
        <f t="shared" si="86"/>
        <v>-35.488019999999999</v>
      </c>
      <c r="M517" s="19"/>
      <c r="N517" s="37" t="e">
        <f>#N/A</f>
        <v>#N/A</v>
      </c>
    </row>
    <row r="518" spans="1:21" s="27" customFormat="1" ht="24" hidden="1" customHeight="1" x14ac:dyDescent="0.25">
      <c r="A518" s="856" t="s">
        <v>659</v>
      </c>
      <c r="B518" s="501">
        <v>206000</v>
      </c>
      <c r="C518" s="857">
        <f>C519+C520</f>
        <v>0</v>
      </c>
      <c r="D518" s="518">
        <f>D519+D520</f>
        <v>0</v>
      </c>
      <c r="E518" s="857">
        <f>E519+E520</f>
        <v>0</v>
      </c>
      <c r="F518" s="858"/>
      <c r="G518" s="122"/>
      <c r="H518" s="857">
        <f>H519+H520</f>
        <v>0</v>
      </c>
      <c r="I518" s="857">
        <f>I519+I520</f>
        <v>0</v>
      </c>
      <c r="J518" s="859"/>
      <c r="K518" s="774">
        <f t="shared" si="85"/>
        <v>0</v>
      </c>
      <c r="L518" s="860">
        <f t="shared" si="86"/>
        <v>0</v>
      </c>
      <c r="M518" s="859"/>
      <c r="N518" s="37" t="e">
        <f>#N/A</f>
        <v>#N/A</v>
      </c>
    </row>
    <row r="519" spans="1:21" s="130" customFormat="1" ht="21" hidden="1" customHeight="1" x14ac:dyDescent="0.25">
      <c r="A519" s="58" t="s">
        <v>660</v>
      </c>
      <c r="B519" s="520">
        <v>206100</v>
      </c>
      <c r="C519" s="467">
        <v>0</v>
      </c>
      <c r="D519" s="521">
        <v>10000</v>
      </c>
      <c r="E519" s="36"/>
      <c r="F519" s="125"/>
      <c r="G519" s="122"/>
      <c r="H519" s="467">
        <v>0</v>
      </c>
      <c r="I519" s="522"/>
      <c r="J519" s="523"/>
      <c r="K519" s="519">
        <f t="shared" si="85"/>
        <v>0</v>
      </c>
      <c r="L519" s="524">
        <f t="shared" si="86"/>
        <v>0</v>
      </c>
      <c r="M519" s="523"/>
      <c r="N519" s="37" t="e">
        <f>#N/A</f>
        <v>#N/A</v>
      </c>
    </row>
    <row r="520" spans="1:21" s="130" customFormat="1" ht="21.75" hidden="1" customHeight="1" x14ac:dyDescent="0.25">
      <c r="A520" s="672" t="s">
        <v>661</v>
      </c>
      <c r="B520" s="710">
        <v>206200</v>
      </c>
      <c r="C520" s="711">
        <v>0</v>
      </c>
      <c r="D520" s="521">
        <v>-10000</v>
      </c>
      <c r="E520" s="711"/>
      <c r="F520" s="519"/>
      <c r="G520" s="122"/>
      <c r="H520" s="711">
        <v>0</v>
      </c>
      <c r="I520" s="711"/>
      <c r="J520" s="524"/>
      <c r="K520" s="519">
        <f t="shared" si="85"/>
        <v>0</v>
      </c>
      <c r="L520" s="524">
        <f t="shared" si="86"/>
        <v>0</v>
      </c>
      <c r="M520" s="524"/>
      <c r="N520" s="37" t="e">
        <f>#N/A</f>
        <v>#N/A</v>
      </c>
    </row>
    <row r="521" spans="1:21" s="27" customFormat="1" ht="13.8" x14ac:dyDescent="0.25">
      <c r="A521" s="514" t="s">
        <v>662</v>
      </c>
      <c r="B521" s="369">
        <v>208000</v>
      </c>
      <c r="C521" s="23">
        <f>SUM(C522-C523+C526+C525)</f>
        <v>-866883.31666000024</v>
      </c>
      <c r="D521" s="577">
        <f t="shared" ref="D521:I521" si="87">SUM(D522-D523+D526+D525)</f>
        <v>-600025.35939</v>
      </c>
      <c r="E521" s="23">
        <f t="shared" si="87"/>
        <v>-920176.47369000001</v>
      </c>
      <c r="F521" s="25"/>
      <c r="G521" s="579">
        <f t="shared" si="87"/>
        <v>0</v>
      </c>
      <c r="H521" s="23">
        <f t="shared" si="87"/>
        <v>953672.72978000017</v>
      </c>
      <c r="I521" s="23">
        <f t="shared" si="87"/>
        <v>734268.40558000002</v>
      </c>
      <c r="J521" s="25">
        <f t="shared" ref="J521:N521" si="88">SUM(J522-J523+J526+J525+J524)</f>
        <v>0</v>
      </c>
      <c r="K521" s="23">
        <f t="shared" si="88"/>
        <v>86789.413119999997</v>
      </c>
      <c r="L521" s="23">
        <f t="shared" si="88"/>
        <v>-185908.06811000002</v>
      </c>
      <c r="M521" s="25">
        <f t="shared" si="88"/>
        <v>0</v>
      </c>
      <c r="N521" s="525" t="e">
        <f t="shared" si="88"/>
        <v>#N/A</v>
      </c>
    </row>
    <row r="522" spans="1:21" s="130" customFormat="1" ht="12.75" customHeight="1" x14ac:dyDescent="0.25">
      <c r="A522" s="146" t="s">
        <v>656</v>
      </c>
      <c r="B522" s="436">
        <v>208100</v>
      </c>
      <c r="C522" s="34">
        <v>46723.462749999999</v>
      </c>
      <c r="D522" s="80">
        <v>46723.462749999999</v>
      </c>
      <c r="E522" s="34">
        <v>46723.462749999999</v>
      </c>
      <c r="F522" s="115"/>
      <c r="G522" s="581"/>
      <c r="H522" s="34">
        <v>41065.977749999998</v>
      </c>
      <c r="I522" s="34">
        <v>41065.977749999998</v>
      </c>
      <c r="J522" s="115"/>
      <c r="K522" s="35">
        <f t="shared" si="85"/>
        <v>87789.440499999997</v>
      </c>
      <c r="L522" s="34">
        <f t="shared" si="86"/>
        <v>87789.440499999997</v>
      </c>
      <c r="M522" s="115"/>
      <c r="N522" s="37" t="e">
        <f>#N/A</f>
        <v>#N/A</v>
      </c>
    </row>
    <row r="523" spans="1:21" s="130" customFormat="1" ht="23.25" customHeight="1" x14ac:dyDescent="0.25">
      <c r="A523" s="131" t="s">
        <v>657</v>
      </c>
      <c r="B523" s="436">
        <v>208200</v>
      </c>
      <c r="C523" s="34">
        <v>1000.0273800000017</v>
      </c>
      <c r="D523" s="80">
        <v>2.7379999999946451E-2</v>
      </c>
      <c r="E523" s="34">
        <v>247880.97876</v>
      </c>
      <c r="F523" s="115"/>
      <c r="G523" s="581"/>
      <c r="H523" s="34"/>
      <c r="I523" s="34">
        <v>25816.529850000003</v>
      </c>
      <c r="J523" s="115"/>
      <c r="K523" s="35">
        <f t="shared" si="85"/>
        <v>1000.0273800000017</v>
      </c>
      <c r="L523" s="34">
        <f t="shared" si="86"/>
        <v>273697.50861000002</v>
      </c>
      <c r="M523" s="115"/>
      <c r="N523" s="37" t="e">
        <f>#N/A</f>
        <v>#N/A</v>
      </c>
    </row>
    <row r="524" spans="1:21" s="130" customFormat="1" ht="15" customHeight="1" x14ac:dyDescent="0.25">
      <c r="A524" s="131" t="s">
        <v>658</v>
      </c>
      <c r="B524" s="526">
        <v>208300</v>
      </c>
      <c r="C524" s="34">
        <f>C525</f>
        <v>29464</v>
      </c>
      <c r="D524" s="617">
        <f t="shared" ref="D524:N524" si="89">D525</f>
        <v>22884.043959999995</v>
      </c>
      <c r="E524" s="34">
        <f t="shared" si="89"/>
        <v>26534.043960000003</v>
      </c>
      <c r="F524" s="115">
        <f t="shared" si="89"/>
        <v>0</v>
      </c>
      <c r="G524" s="581">
        <f t="shared" si="89"/>
        <v>0</v>
      </c>
      <c r="H524" s="34">
        <f t="shared" si="89"/>
        <v>-29464</v>
      </c>
      <c r="I524" s="34">
        <v>-26534.043960000003</v>
      </c>
      <c r="J524" s="115">
        <f t="shared" si="89"/>
        <v>0</v>
      </c>
      <c r="K524" s="34">
        <f t="shared" si="89"/>
        <v>0</v>
      </c>
      <c r="L524" s="34">
        <f t="shared" si="89"/>
        <v>0</v>
      </c>
      <c r="M524" s="115">
        <f t="shared" si="89"/>
        <v>0</v>
      </c>
      <c r="N524" s="34">
        <f t="shared" si="89"/>
        <v>0</v>
      </c>
    </row>
    <row r="525" spans="1:21" s="130" customFormat="1" ht="15" customHeight="1" x14ac:dyDescent="0.25">
      <c r="A525" s="333" t="s">
        <v>663</v>
      </c>
      <c r="B525" s="436">
        <v>208320</v>
      </c>
      <c r="C525" s="34">
        <v>29464</v>
      </c>
      <c r="D525" s="80">
        <v>22884.043959999995</v>
      </c>
      <c r="E525" s="34">
        <v>26534.043960000003</v>
      </c>
      <c r="F525" s="115"/>
      <c r="G525" s="581"/>
      <c r="H525" s="34">
        <v>-29464</v>
      </c>
      <c r="I525" s="34">
        <v>-26534.043959999999</v>
      </c>
      <c r="J525" s="115"/>
      <c r="K525" s="492"/>
      <c r="L525" s="34"/>
      <c r="M525" s="115"/>
      <c r="N525" s="37"/>
    </row>
    <row r="526" spans="1:21" s="130" customFormat="1" ht="33" customHeight="1" x14ac:dyDescent="0.25">
      <c r="A526" s="131" t="s">
        <v>664</v>
      </c>
      <c r="B526" s="436">
        <v>208400</v>
      </c>
      <c r="C526" s="34">
        <v>-942070.75203000021</v>
      </c>
      <c r="D526" s="80">
        <v>-669632.83872</v>
      </c>
      <c r="E526" s="34">
        <v>-745553.00164000003</v>
      </c>
      <c r="F526" s="115"/>
      <c r="G526" s="581"/>
      <c r="H526" s="34">
        <f>C526*-1</f>
        <v>942070.75203000021</v>
      </c>
      <c r="I526" s="34">
        <v>745553.00164000003</v>
      </c>
      <c r="J526" s="115"/>
      <c r="K526" s="492">
        <f t="shared" si="85"/>
        <v>0</v>
      </c>
      <c r="L526" s="34">
        <f>E526+I526</f>
        <v>0</v>
      </c>
      <c r="M526" s="115"/>
      <c r="N526" s="37" t="e">
        <f>#N/A</f>
        <v>#N/A</v>
      </c>
      <c r="O526" s="160"/>
    </row>
    <row r="527" spans="1:21" s="130" customFormat="1" ht="24" hidden="1" customHeight="1" x14ac:dyDescent="0.25">
      <c r="A527" s="861" t="s">
        <v>665</v>
      </c>
      <c r="B527" s="862">
        <v>300000</v>
      </c>
      <c r="C527" s="307"/>
      <c r="D527" s="310"/>
      <c r="E527" s="307">
        <v>0</v>
      </c>
      <c r="F527" s="789"/>
      <c r="G527" s="151"/>
      <c r="H527" s="863">
        <f>H528</f>
        <v>0</v>
      </c>
      <c r="I527" s="307">
        <v>0</v>
      </c>
      <c r="J527" s="789"/>
      <c r="K527" s="864">
        <f>C527+H527</f>
        <v>0</v>
      </c>
      <c r="L527" s="864">
        <f>E527+I527</f>
        <v>0</v>
      </c>
      <c r="M527" s="789"/>
      <c r="N527" s="37"/>
    </row>
    <row r="528" spans="1:21" s="130" customFormat="1" ht="23.25" hidden="1" customHeight="1" x14ac:dyDescent="0.25">
      <c r="A528" s="428" t="s">
        <v>666</v>
      </c>
      <c r="B528" s="520">
        <v>301000</v>
      </c>
      <c r="C528" s="310"/>
      <c r="D528" s="310"/>
      <c r="E528" s="310"/>
      <c r="F528" s="104"/>
      <c r="G528" s="104"/>
      <c r="H528" s="527">
        <f>(H529+H530)</f>
        <v>0</v>
      </c>
      <c r="I528" s="528">
        <f>(I529+I530)</f>
        <v>0</v>
      </c>
      <c r="J528" s="104"/>
      <c r="K528" s="265">
        <f>C528+H528</f>
        <v>0</v>
      </c>
      <c r="L528" s="265">
        <f>E528+I528</f>
        <v>0</v>
      </c>
      <c r="M528" s="104"/>
      <c r="N528" s="37"/>
    </row>
    <row r="529" spans="1:19" s="130" customFormat="1" ht="12.75" hidden="1" customHeight="1" x14ac:dyDescent="0.25">
      <c r="A529" s="428" t="s">
        <v>654</v>
      </c>
      <c r="B529" s="520">
        <v>301100</v>
      </c>
      <c r="C529" s="310"/>
      <c r="D529" s="310"/>
      <c r="E529" s="310"/>
      <c r="F529" s="104"/>
      <c r="G529" s="104"/>
      <c r="H529" s="527">
        <v>0</v>
      </c>
      <c r="I529" s="528">
        <v>0</v>
      </c>
      <c r="J529" s="104"/>
      <c r="K529" s="265">
        <f>SUM(C529,H529)</f>
        <v>0</v>
      </c>
      <c r="L529" s="265">
        <f>SUM(I529,E529)</f>
        <v>0</v>
      </c>
      <c r="M529" s="104"/>
      <c r="N529" s="37"/>
      <c r="O529" s="160"/>
    </row>
    <row r="530" spans="1:19" s="130" customFormat="1" ht="17.25" hidden="1" customHeight="1" x14ac:dyDescent="0.25">
      <c r="A530" s="712" t="s">
        <v>648</v>
      </c>
      <c r="B530" s="713">
        <v>301200</v>
      </c>
      <c r="C530" s="153"/>
      <c r="D530" s="310"/>
      <c r="E530" s="153"/>
      <c r="F530" s="624"/>
      <c r="G530" s="104"/>
      <c r="H530" s="714"/>
      <c r="I530" s="715"/>
      <c r="J530" s="624"/>
      <c r="K530" s="265">
        <f>C530+H530</f>
        <v>0</v>
      </c>
      <c r="L530" s="265">
        <f>E530+I530</f>
        <v>0</v>
      </c>
      <c r="M530" s="624"/>
      <c r="N530" s="37"/>
    </row>
    <row r="531" spans="1:19" s="488" customFormat="1" ht="38.25" customHeight="1" x14ac:dyDescent="0.3">
      <c r="A531" s="529" t="s">
        <v>667</v>
      </c>
      <c r="B531" s="442"/>
      <c r="C531" s="443">
        <f>C507+C514+C521+C518</f>
        <v>-866883.31666000024</v>
      </c>
      <c r="D531" s="612">
        <f>D507+D514+D521+D518</f>
        <v>-600025.35939</v>
      </c>
      <c r="E531" s="443">
        <f>E507+E514+E521+E518</f>
        <v>-932504.36357000005</v>
      </c>
      <c r="F531" s="567"/>
      <c r="G531" s="596"/>
      <c r="H531" s="443">
        <f>H507+H514+H521+H518+H504+H527</f>
        <v>958058.81568000012</v>
      </c>
      <c r="I531" s="443">
        <f>I507+I514+I521+I518+I504+I527</f>
        <v>695834.49530000007</v>
      </c>
      <c r="J531" s="271"/>
      <c r="K531" s="190">
        <f>C531+H531</f>
        <v>91175.499019999872</v>
      </c>
      <c r="L531" s="190">
        <f>E531+I531</f>
        <v>-236669.86826999998</v>
      </c>
      <c r="M531" s="271"/>
      <c r="N531" s="37">
        <v>1</v>
      </c>
      <c r="O531" s="530"/>
    </row>
    <row r="532" spans="1:19" ht="15.75" hidden="1" customHeight="1" x14ac:dyDescent="0.25">
      <c r="A532" s="861" t="s">
        <v>668</v>
      </c>
      <c r="B532" s="862">
        <v>400000</v>
      </c>
      <c r="C532" s="307"/>
      <c r="D532" s="60"/>
      <c r="E532" s="307"/>
      <c r="F532" s="789"/>
      <c r="G532" s="261"/>
      <c r="H532" s="863">
        <f>H536+H538+H533</f>
        <v>0</v>
      </c>
      <c r="I532" s="307">
        <f>I536+I538+I533</f>
        <v>0</v>
      </c>
      <c r="J532" s="789"/>
      <c r="K532" s="864">
        <f>C532+H532</f>
        <v>0</v>
      </c>
      <c r="L532" s="223">
        <f>E532+I532</f>
        <v>0</v>
      </c>
      <c r="M532" s="759"/>
      <c r="N532" s="37">
        <f>SUM(C532:M532)</f>
        <v>0</v>
      </c>
    </row>
    <row r="533" spans="1:19" ht="13.5" hidden="1" customHeight="1" x14ac:dyDescent="0.25">
      <c r="A533" s="82" t="s">
        <v>669</v>
      </c>
      <c r="B533" s="202">
        <v>401000</v>
      </c>
      <c r="C533" s="197"/>
      <c r="D533" s="197">
        <v>0</v>
      </c>
      <c r="E533" s="197"/>
      <c r="F533" s="183"/>
      <c r="G533" s="255"/>
      <c r="H533" s="197"/>
      <c r="I533" s="197"/>
      <c r="J533" s="183" t="str">
        <f t="shared" si="84"/>
        <v/>
      </c>
      <c r="K533" s="531"/>
      <c r="L533" s="531"/>
      <c r="M533" s="183"/>
      <c r="N533" s="37"/>
      <c r="P533" s="413"/>
      <c r="Q533" s="413"/>
      <c r="R533" s="413"/>
      <c r="S533" s="413"/>
    </row>
    <row r="534" spans="1:19" ht="9.75" hidden="1" customHeight="1" x14ac:dyDescent="0.25">
      <c r="A534" s="82" t="s">
        <v>670</v>
      </c>
      <c r="B534" s="202">
        <v>401200</v>
      </c>
      <c r="C534" s="62"/>
      <c r="D534" s="62">
        <v>0</v>
      </c>
      <c r="E534" s="62"/>
      <c r="F534" s="183"/>
      <c r="G534" s="255"/>
      <c r="H534" s="62"/>
      <c r="I534" s="62"/>
      <c r="J534" s="183" t="str">
        <f t="shared" si="84"/>
        <v/>
      </c>
      <c r="K534" s="531"/>
      <c r="L534" s="531"/>
      <c r="M534" s="183"/>
      <c r="N534" s="37"/>
      <c r="P534" s="413"/>
      <c r="Q534" s="413"/>
      <c r="R534" s="413"/>
      <c r="S534" s="413"/>
    </row>
    <row r="535" spans="1:19" ht="18" hidden="1" customHeight="1" x14ac:dyDescent="0.25">
      <c r="A535" s="82" t="s">
        <v>671</v>
      </c>
      <c r="B535" s="202">
        <v>401202</v>
      </c>
      <c r="C535" s="62"/>
      <c r="D535" s="62">
        <v>0</v>
      </c>
      <c r="E535" s="62"/>
      <c r="F535" s="183"/>
      <c r="G535" s="255"/>
      <c r="H535" s="62"/>
      <c r="I535" s="198"/>
      <c r="J535" s="183" t="str">
        <f t="shared" si="84"/>
        <v/>
      </c>
      <c r="K535" s="531"/>
      <c r="L535" s="531"/>
      <c r="M535" s="183"/>
      <c r="N535" s="37"/>
      <c r="P535" s="413"/>
      <c r="Q535" s="413"/>
      <c r="R535" s="413"/>
      <c r="S535" s="413"/>
    </row>
    <row r="536" spans="1:19" ht="19.5" hidden="1" customHeight="1" x14ac:dyDescent="0.25">
      <c r="A536" s="82" t="s">
        <v>672</v>
      </c>
      <c r="B536" s="202">
        <v>402100</v>
      </c>
      <c r="C536" s="62"/>
      <c r="D536" s="62"/>
      <c r="E536" s="62"/>
      <c r="F536" s="183"/>
      <c r="G536" s="255"/>
      <c r="H536" s="62">
        <f>H537</f>
        <v>0</v>
      </c>
      <c r="I536" s="62">
        <f>I537</f>
        <v>0</v>
      </c>
      <c r="J536" s="183" t="str">
        <f t="shared" si="84"/>
        <v/>
      </c>
      <c r="K536" s="531" t="e">
        <f>#N/A</f>
        <v>#N/A</v>
      </c>
      <c r="L536" s="531" t="e">
        <f>#N/A</f>
        <v>#N/A</v>
      </c>
      <c r="M536" s="183"/>
      <c r="N536" s="37" t="e">
        <f>SUM(C536:M536)</f>
        <v>#N/A</v>
      </c>
      <c r="P536" s="413"/>
      <c r="Q536" s="413"/>
      <c r="R536" s="413"/>
      <c r="S536" s="413"/>
    </row>
    <row r="537" spans="1:19" ht="14.25" hidden="1" customHeight="1" x14ac:dyDescent="0.25">
      <c r="A537" s="82" t="s">
        <v>671</v>
      </c>
      <c r="B537" s="202">
        <v>402102</v>
      </c>
      <c r="C537" s="134"/>
      <c r="D537" s="134"/>
      <c r="E537" s="134"/>
      <c r="F537" s="183"/>
      <c r="G537" s="255"/>
      <c r="H537" s="134"/>
      <c r="I537" s="137">
        <v>0</v>
      </c>
      <c r="J537" s="183" t="str">
        <f t="shared" si="84"/>
        <v/>
      </c>
      <c r="K537" s="531" t="e">
        <f>#N/A</f>
        <v>#N/A</v>
      </c>
      <c r="L537" s="531" t="e">
        <f>#N/A</f>
        <v>#N/A</v>
      </c>
      <c r="M537" s="183"/>
      <c r="N537" s="37" t="e">
        <f>SUM(C537:M537)</f>
        <v>#N/A</v>
      </c>
      <c r="P537" s="413"/>
      <c r="Q537" s="413"/>
      <c r="R537" s="413"/>
      <c r="S537" s="413"/>
    </row>
    <row r="538" spans="1:19" ht="15.75" hidden="1" customHeight="1" x14ac:dyDescent="0.25">
      <c r="A538" s="82" t="s">
        <v>673</v>
      </c>
      <c r="B538" s="202">
        <v>402000</v>
      </c>
      <c r="C538" s="60"/>
      <c r="D538" s="60"/>
      <c r="E538" s="60"/>
      <c r="F538" s="61"/>
      <c r="G538" s="261"/>
      <c r="H538" s="62">
        <f>H539</f>
        <v>0</v>
      </c>
      <c r="I538" s="60">
        <f>I539</f>
        <v>0</v>
      </c>
      <c r="J538" s="61"/>
      <c r="K538" s="240">
        <f>C538+H538</f>
        <v>0</v>
      </c>
      <c r="L538" s="240">
        <f t="shared" ref="L538:L547" si="90">E538+I538</f>
        <v>0</v>
      </c>
      <c r="M538" s="61"/>
      <c r="N538" s="37">
        <f>SUM(C538:M538)</f>
        <v>0</v>
      </c>
      <c r="P538" s="413"/>
      <c r="Q538" s="413"/>
      <c r="R538" s="413"/>
      <c r="S538" s="413"/>
    </row>
    <row r="539" spans="1:19" ht="15" hidden="1" customHeight="1" x14ac:dyDescent="0.25">
      <c r="A539" s="633" t="s">
        <v>674</v>
      </c>
      <c r="B539" s="653">
        <v>402200</v>
      </c>
      <c r="C539" s="135"/>
      <c r="D539" s="60"/>
      <c r="E539" s="135"/>
      <c r="F539" s="625"/>
      <c r="G539" s="261"/>
      <c r="H539" s="134">
        <f>H530</f>
        <v>0</v>
      </c>
      <c r="I539" s="135">
        <f>I530</f>
        <v>0</v>
      </c>
      <c r="J539" s="625"/>
      <c r="K539" s="240">
        <f>C539+H539</f>
        <v>0</v>
      </c>
      <c r="L539" s="240">
        <f t="shared" si="90"/>
        <v>0</v>
      </c>
      <c r="M539" s="625"/>
      <c r="N539" s="37">
        <f>SUM(C539:M539)</f>
        <v>0</v>
      </c>
      <c r="P539" s="413"/>
      <c r="Q539" s="413"/>
      <c r="R539" s="413"/>
      <c r="S539" s="413"/>
    </row>
    <row r="540" spans="1:19" s="533" customFormat="1" ht="13.8" x14ac:dyDescent="0.25">
      <c r="A540" s="532" t="s">
        <v>675</v>
      </c>
      <c r="B540" s="369">
        <v>600000</v>
      </c>
      <c r="C540" s="23">
        <f>C544+C550</f>
        <v>-866883.31666000024</v>
      </c>
      <c r="D540" s="577">
        <f>D544+D550</f>
        <v>-600025.35939</v>
      </c>
      <c r="E540" s="23">
        <f>E544+E550+E541</f>
        <v>-932504.36356999993</v>
      </c>
      <c r="F540" s="25"/>
      <c r="G540" s="579"/>
      <c r="H540" s="23">
        <f>H544+H550+H541</f>
        <v>958058.81568000023</v>
      </c>
      <c r="I540" s="23">
        <f>I544+I550+I541</f>
        <v>695834.49530000007</v>
      </c>
      <c r="J540" s="25"/>
      <c r="K540" s="23">
        <f>C540+H540</f>
        <v>91175.499019999988</v>
      </c>
      <c r="L540" s="23">
        <f t="shared" si="90"/>
        <v>-236669.86826999986</v>
      </c>
      <c r="M540" s="25"/>
      <c r="N540" s="37" t="e">
        <f>#N/A</f>
        <v>#N/A</v>
      </c>
      <c r="P540" s="534"/>
      <c r="Q540" s="534"/>
      <c r="R540" s="534"/>
      <c r="S540" s="534"/>
    </row>
    <row r="541" spans="1:19" s="32" customFormat="1" ht="30" hidden="1" customHeight="1" x14ac:dyDescent="0.25">
      <c r="A541" s="865" t="s">
        <v>659</v>
      </c>
      <c r="B541" s="866">
        <v>601000</v>
      </c>
      <c r="C541" s="562">
        <f>C542+C543</f>
        <v>0</v>
      </c>
      <c r="D541" s="535">
        <f>D542+D543</f>
        <v>0</v>
      </c>
      <c r="E541" s="562">
        <f>E542+E543</f>
        <v>0</v>
      </c>
      <c r="F541" s="867"/>
      <c r="G541" s="122"/>
      <c r="H541" s="562">
        <f>H542+H543</f>
        <v>0</v>
      </c>
      <c r="I541" s="562">
        <f>I542+I543</f>
        <v>0</v>
      </c>
      <c r="J541" s="868"/>
      <c r="K541" s="869">
        <f>SUM(C541,H541)</f>
        <v>0</v>
      </c>
      <c r="L541" s="860">
        <f t="shared" si="90"/>
        <v>0</v>
      </c>
      <c r="M541" s="868"/>
      <c r="N541" s="37" t="e">
        <f>#N/A</f>
        <v>#N/A</v>
      </c>
      <c r="P541" s="412"/>
      <c r="Q541" s="412"/>
      <c r="R541" s="412"/>
      <c r="S541" s="412"/>
    </row>
    <row r="542" spans="1:19" ht="27" hidden="1" customHeight="1" x14ac:dyDescent="0.25">
      <c r="A542" s="120" t="s">
        <v>676</v>
      </c>
      <c r="B542" s="217">
        <v>601100</v>
      </c>
      <c r="C542" s="35">
        <f t="shared" ref="C542:E543" si="91">C519</f>
        <v>0</v>
      </c>
      <c r="D542" s="138">
        <f t="shared" si="91"/>
        <v>10000</v>
      </c>
      <c r="E542" s="35">
        <f t="shared" si="91"/>
        <v>0</v>
      </c>
      <c r="F542" s="125"/>
      <c r="G542" s="122"/>
      <c r="H542" s="35">
        <f>H519</f>
        <v>0</v>
      </c>
      <c r="I542" s="35">
        <f>I519</f>
        <v>0</v>
      </c>
      <c r="J542" s="125"/>
      <c r="K542" s="519">
        <f>C542+H542</f>
        <v>0</v>
      </c>
      <c r="L542" s="519">
        <f t="shared" si="90"/>
        <v>0</v>
      </c>
      <c r="M542" s="125"/>
      <c r="N542" s="159" t="e">
        <f>#N/A</f>
        <v>#N/A</v>
      </c>
      <c r="P542" s="413"/>
      <c r="Q542" s="413"/>
      <c r="R542" s="413"/>
      <c r="S542" s="413"/>
    </row>
    <row r="543" spans="1:19" ht="27" hidden="1" customHeight="1" x14ac:dyDescent="0.25">
      <c r="A543" s="629" t="s">
        <v>677</v>
      </c>
      <c r="B543" s="658">
        <v>601200</v>
      </c>
      <c r="C543" s="213">
        <f t="shared" si="91"/>
        <v>0</v>
      </c>
      <c r="D543" s="138">
        <f t="shared" si="91"/>
        <v>-10000</v>
      </c>
      <c r="E543" s="213">
        <f t="shared" si="91"/>
        <v>0</v>
      </c>
      <c r="F543" s="519"/>
      <c r="G543" s="122"/>
      <c r="H543" s="213">
        <f>H520</f>
        <v>0</v>
      </c>
      <c r="I543" s="213">
        <f>I520</f>
        <v>0</v>
      </c>
      <c r="J543" s="519"/>
      <c r="K543" s="519">
        <f>C543+H543</f>
        <v>0</v>
      </c>
      <c r="L543" s="519">
        <f t="shared" si="90"/>
        <v>0</v>
      </c>
      <c r="M543" s="519"/>
      <c r="N543" s="37" t="e">
        <f>#N/A</f>
        <v>#N/A</v>
      </c>
      <c r="P543" s="413"/>
      <c r="Q543" s="413"/>
      <c r="R543" s="413"/>
      <c r="S543" s="413"/>
    </row>
    <row r="544" spans="1:19" s="32" customFormat="1" ht="15.75" customHeight="1" x14ac:dyDescent="0.25">
      <c r="A544" s="462" t="s">
        <v>678</v>
      </c>
      <c r="B544" s="226">
        <v>602000</v>
      </c>
      <c r="C544" s="30">
        <f t="shared" ref="C544:H544" si="92">SUM(C545-C546+C549+C548)</f>
        <v>-866883.31666000024</v>
      </c>
      <c r="D544" s="578">
        <f t="shared" si="92"/>
        <v>-600025.35939</v>
      </c>
      <c r="E544" s="30">
        <f t="shared" si="92"/>
        <v>-932504.36356999993</v>
      </c>
      <c r="F544" s="31">
        <f t="shared" si="92"/>
        <v>0</v>
      </c>
      <c r="G544" s="580">
        <f t="shared" si="92"/>
        <v>0</v>
      </c>
      <c r="H544" s="30">
        <f t="shared" si="92"/>
        <v>958058.81568000023</v>
      </c>
      <c r="I544" s="30">
        <f>SUM(I545-I546+I549+I547)</f>
        <v>695834.49530000007</v>
      </c>
      <c r="J544" s="31"/>
      <c r="K544" s="30">
        <f>C544+H544</f>
        <v>91175.499019999988</v>
      </c>
      <c r="L544" s="30">
        <f t="shared" si="90"/>
        <v>-236669.86826999986</v>
      </c>
      <c r="M544" s="31"/>
      <c r="N544" s="37" t="e">
        <f>#N/A</f>
        <v>#N/A</v>
      </c>
      <c r="P544" s="412"/>
      <c r="Q544" s="412"/>
      <c r="R544" s="412"/>
      <c r="S544" s="412"/>
    </row>
    <row r="545" spans="1:20" ht="13.5" customHeight="1" x14ac:dyDescent="0.25">
      <c r="A545" s="146" t="s">
        <v>656</v>
      </c>
      <c r="B545" s="217">
        <v>602100</v>
      </c>
      <c r="C545" s="70">
        <f t="shared" ref="C545:H547" si="93">C515+C522</f>
        <v>46723.462749999999</v>
      </c>
      <c r="D545" s="586">
        <f t="shared" si="93"/>
        <v>46723.462749999999</v>
      </c>
      <c r="E545" s="70">
        <v>46723.462749999999</v>
      </c>
      <c r="F545" s="536"/>
      <c r="G545" s="584"/>
      <c r="H545" s="70">
        <f>H515+H522</f>
        <v>53342.493649999997</v>
      </c>
      <c r="I545" s="70">
        <v>53342.493649999997</v>
      </c>
      <c r="J545" s="19"/>
      <c r="K545" s="35">
        <f>C545+H545</f>
        <v>100065.9564</v>
      </c>
      <c r="L545" s="35">
        <f>E545+I545</f>
        <v>100065.9564</v>
      </c>
      <c r="M545" s="19"/>
      <c r="N545" s="37" t="e">
        <f>#N/A</f>
        <v>#N/A</v>
      </c>
      <c r="P545" s="413"/>
      <c r="Q545" s="413"/>
      <c r="R545" s="413"/>
      <c r="S545" s="413"/>
    </row>
    <row r="546" spans="1:20" ht="15.75" customHeight="1" x14ac:dyDescent="0.25">
      <c r="A546" s="41" t="s">
        <v>657</v>
      </c>
      <c r="B546" s="217">
        <v>602200</v>
      </c>
      <c r="C546" s="70">
        <v>1000.02738</v>
      </c>
      <c r="D546" s="586">
        <f t="shared" si="93"/>
        <v>2.7379999999946451E-2</v>
      </c>
      <c r="E546" s="70">
        <v>260208.86863999997</v>
      </c>
      <c r="F546" s="536"/>
      <c r="G546" s="584"/>
      <c r="H546" s="70">
        <f>H516+H523</f>
        <v>7890.43</v>
      </c>
      <c r="I546" s="70">
        <f>I516+I523</f>
        <v>76491.468009999997</v>
      </c>
      <c r="J546" s="19"/>
      <c r="K546" s="35">
        <f>C546+H546</f>
        <v>8890.4573799999998</v>
      </c>
      <c r="L546" s="35">
        <f t="shared" si="90"/>
        <v>336700.33664999995</v>
      </c>
      <c r="M546" s="19"/>
      <c r="N546" s="37" t="e">
        <f>#N/A</f>
        <v>#N/A</v>
      </c>
      <c r="P546" s="413"/>
      <c r="Q546" s="413"/>
      <c r="R546" s="413"/>
      <c r="S546" s="413"/>
    </row>
    <row r="547" spans="1:20" ht="14.25" customHeight="1" x14ac:dyDescent="0.25">
      <c r="A547" s="41" t="s">
        <v>658</v>
      </c>
      <c r="B547" s="217">
        <v>602300</v>
      </c>
      <c r="C547" s="70">
        <f>C517+C524</f>
        <v>29464</v>
      </c>
      <c r="D547" s="586">
        <f t="shared" si="93"/>
        <v>22884.043959999995</v>
      </c>
      <c r="E547" s="70">
        <f>E517+E524</f>
        <v>26534.043960000003</v>
      </c>
      <c r="F547" s="536">
        <f t="shared" si="93"/>
        <v>0</v>
      </c>
      <c r="G547" s="618">
        <f t="shared" si="93"/>
        <v>0</v>
      </c>
      <c r="H547" s="70">
        <f t="shared" si="93"/>
        <v>-29464</v>
      </c>
      <c r="I547" s="70">
        <f>I517+I524</f>
        <v>-26569.531980000003</v>
      </c>
      <c r="J547" s="19"/>
      <c r="K547" s="35">
        <f>SUM(C547,H547)</f>
        <v>0</v>
      </c>
      <c r="L547" s="35">
        <f t="shared" si="90"/>
        <v>-35.488020000000688</v>
      </c>
      <c r="M547" s="19"/>
      <c r="N547" s="37" t="e">
        <f>#N/A</f>
        <v>#N/A</v>
      </c>
      <c r="P547" s="413"/>
      <c r="Q547" s="413"/>
      <c r="R547" s="413"/>
      <c r="S547" s="413"/>
    </row>
    <row r="548" spans="1:20" ht="14.25" customHeight="1" x14ac:dyDescent="0.25">
      <c r="A548" s="41" t="s">
        <v>663</v>
      </c>
      <c r="B548" s="217">
        <v>602320</v>
      </c>
      <c r="C548" s="70">
        <f t="shared" ref="C548:E549" si="94">C525</f>
        <v>29464</v>
      </c>
      <c r="D548" s="586">
        <f t="shared" si="94"/>
        <v>22884.043959999995</v>
      </c>
      <c r="E548" s="70">
        <f t="shared" si="94"/>
        <v>26534.043960000003</v>
      </c>
      <c r="F548" s="536"/>
      <c r="G548" s="618"/>
      <c r="H548" s="70">
        <f>H525</f>
        <v>-29464</v>
      </c>
      <c r="I548" s="70">
        <f>I525</f>
        <v>-26534.043959999999</v>
      </c>
      <c r="J548" s="19"/>
      <c r="K548" s="35"/>
      <c r="L548" s="35"/>
      <c r="M548" s="19"/>
      <c r="N548" s="37"/>
      <c r="P548" s="413"/>
      <c r="Q548" s="413"/>
      <c r="R548" s="413"/>
      <c r="S548" s="413"/>
    </row>
    <row r="549" spans="1:20" ht="34.200000000000003" customHeight="1" x14ac:dyDescent="0.25">
      <c r="A549" s="131" t="s">
        <v>679</v>
      </c>
      <c r="B549" s="217">
        <v>602400</v>
      </c>
      <c r="C549" s="70">
        <f t="shared" si="94"/>
        <v>-942070.75203000021</v>
      </c>
      <c r="D549" s="586">
        <f t="shared" si="94"/>
        <v>-669632.83872</v>
      </c>
      <c r="E549" s="70">
        <f t="shared" si="94"/>
        <v>-745553.00164000003</v>
      </c>
      <c r="F549" s="536"/>
      <c r="G549" s="584"/>
      <c r="H549" s="70">
        <f>H526</f>
        <v>942070.75203000021</v>
      </c>
      <c r="I549" s="70">
        <f>I526</f>
        <v>745553.00164000003</v>
      </c>
      <c r="J549" s="19"/>
      <c r="K549" s="35">
        <f>SUM(C549,H549)</f>
        <v>0</v>
      </c>
      <c r="L549" s="35">
        <f>SUM(I549,E549)</f>
        <v>0</v>
      </c>
      <c r="M549" s="19"/>
      <c r="N549" s="37" t="e">
        <f>#N/A</f>
        <v>#N/A</v>
      </c>
      <c r="O549" s="198"/>
      <c r="P549" s="413"/>
      <c r="Q549" s="413"/>
      <c r="R549" s="413"/>
      <c r="S549" s="413"/>
    </row>
    <row r="550" spans="1:20" s="32" customFormat="1" ht="15" hidden="1" customHeight="1" x14ac:dyDescent="0.25">
      <c r="A550" s="870" t="s">
        <v>650</v>
      </c>
      <c r="B550" s="871">
        <v>603000</v>
      </c>
      <c r="C550" s="185">
        <f>C508</f>
        <v>0</v>
      </c>
      <c r="D550" s="537">
        <f>D508</f>
        <v>0</v>
      </c>
      <c r="E550" s="185">
        <f>E508</f>
        <v>0</v>
      </c>
      <c r="F550" s="872"/>
      <c r="G550" s="54"/>
      <c r="H550" s="185"/>
      <c r="I550" s="185"/>
      <c r="J550" s="744"/>
      <c r="K550" s="864">
        <f>SUM(C550,H550)</f>
        <v>0</v>
      </c>
      <c r="L550" s="864">
        <f>SUM(I550,E550)</f>
        <v>0</v>
      </c>
      <c r="M550" s="744"/>
      <c r="N550" s="37">
        <v>10</v>
      </c>
      <c r="P550" s="412"/>
      <c r="Q550" s="412"/>
      <c r="R550" s="412"/>
      <c r="S550" s="412"/>
    </row>
    <row r="551" spans="1:20" s="539" customFormat="1" ht="30" customHeight="1" x14ac:dyDescent="0.3">
      <c r="A551" s="529" t="s">
        <v>680</v>
      </c>
      <c r="B551" s="442"/>
      <c r="C551" s="190">
        <f>C544+C541+C550</f>
        <v>-866883.31666000024</v>
      </c>
      <c r="D551" s="588">
        <f>D544+D541+D550</f>
        <v>-600025.35939</v>
      </c>
      <c r="E551" s="190">
        <f>E544+E541+E550</f>
        <v>-932504.36356999993</v>
      </c>
      <c r="F551" s="271"/>
      <c r="G551" s="596"/>
      <c r="H551" s="190">
        <f>H550+H544+H532+H541</f>
        <v>958058.81568000023</v>
      </c>
      <c r="I551" s="190">
        <f>I550+I544+I532+I541</f>
        <v>695834.49530000007</v>
      </c>
      <c r="J551" s="271"/>
      <c r="K551" s="190">
        <f>K550+K544+K532+K541</f>
        <v>91175.499019999988</v>
      </c>
      <c r="L551" s="190">
        <f>L550+L544+L532+L541</f>
        <v>-236669.86826999986</v>
      </c>
      <c r="M551" s="271"/>
      <c r="N551" s="37">
        <f>SUM(C551:M551)</f>
        <v>-891014.09788999998</v>
      </c>
      <c r="O551" s="530"/>
      <c r="P551" s="538"/>
      <c r="Q551" s="538"/>
      <c r="R551" s="538"/>
      <c r="S551" s="538"/>
    </row>
    <row r="552" spans="1:20" ht="13.8" x14ac:dyDescent="0.25">
      <c r="A552" s="540"/>
      <c r="B552" s="541"/>
      <c r="C552" s="542"/>
      <c r="D552" s="542"/>
      <c r="E552" s="542"/>
      <c r="F552" s="543"/>
      <c r="G552" s="543"/>
      <c r="H552" s="544"/>
      <c r="I552" s="545"/>
      <c r="J552" s="543"/>
      <c r="K552" s="545"/>
      <c r="L552" s="545"/>
      <c r="M552" s="543"/>
      <c r="P552" s="413"/>
      <c r="Q552" s="413"/>
      <c r="R552" s="413"/>
      <c r="S552" s="413"/>
    </row>
    <row r="553" spans="1:20" ht="13.8" x14ac:dyDescent="0.25">
      <c r="A553" s="540"/>
      <c r="B553" s="541"/>
      <c r="C553" s="542"/>
      <c r="D553" s="542"/>
      <c r="E553" s="542"/>
      <c r="F553" s="543"/>
      <c r="G553" s="543"/>
      <c r="H553" s="546"/>
      <c r="I553" s="545"/>
      <c r="J553" s="543"/>
      <c r="K553" s="545"/>
      <c r="L553" s="545"/>
      <c r="M553" s="543"/>
      <c r="P553" s="413"/>
      <c r="Q553" s="413"/>
      <c r="R553" s="413"/>
      <c r="S553" s="413"/>
    </row>
    <row r="554" spans="1:20" ht="13.8" x14ac:dyDescent="0.25">
      <c r="A554" s="540"/>
      <c r="B554" s="541"/>
      <c r="C554" s="542"/>
      <c r="D554" s="542"/>
      <c r="E554" s="542"/>
      <c r="F554" s="543"/>
      <c r="G554" s="543"/>
      <c r="H554" s="547"/>
      <c r="I554" s="545"/>
      <c r="J554" s="543"/>
      <c r="K554" s="545"/>
      <c r="L554" s="545"/>
      <c r="M554" s="543"/>
      <c r="P554" s="413"/>
      <c r="Q554" s="413"/>
      <c r="R554" s="413"/>
      <c r="S554" s="413"/>
    </row>
    <row r="555" spans="1:20" ht="13.8" x14ac:dyDescent="0.25">
      <c r="A555" s="540"/>
      <c r="B555" s="541"/>
      <c r="C555" s="542"/>
      <c r="D555" s="542"/>
      <c r="E555" s="542"/>
      <c r="F555" s="543"/>
      <c r="G555" s="543"/>
      <c r="H555" s="547"/>
      <c r="I555" s="545"/>
      <c r="J555" s="543"/>
      <c r="K555" s="545"/>
      <c r="L555" s="545"/>
      <c r="M555" s="543"/>
      <c r="P555" s="413"/>
      <c r="Q555" s="413"/>
      <c r="R555" s="413"/>
      <c r="S555" s="413"/>
    </row>
    <row r="556" spans="1:20" s="555" customFormat="1" ht="16.8" x14ac:dyDescent="0.3">
      <c r="A556" s="548" t="s">
        <v>681</v>
      </c>
      <c r="B556" s="549"/>
      <c r="C556" s="550"/>
      <c r="D556" s="551"/>
      <c r="E556" s="551"/>
      <c r="F556" s="552"/>
      <c r="G556" s="552"/>
      <c r="I556" s="554"/>
      <c r="J556" s="552"/>
      <c r="K556" s="554"/>
      <c r="L556" s="553" t="s">
        <v>682</v>
      </c>
      <c r="M556" s="552"/>
      <c r="N556" s="8"/>
      <c r="P556" s="556"/>
      <c r="Q556" s="413"/>
      <c r="R556" s="413"/>
      <c r="S556" s="413"/>
      <c r="T556" s="8"/>
    </row>
    <row r="557" spans="1:20" ht="13.8" x14ac:dyDescent="0.25">
      <c r="A557" s="540"/>
      <c r="B557" s="541"/>
      <c r="C557" s="542"/>
      <c r="D557" s="542"/>
      <c r="E557" s="542"/>
      <c r="F557" s="543"/>
      <c r="G557" s="543"/>
      <c r="H557" s="547"/>
      <c r="I557" s="545"/>
      <c r="J557" s="543"/>
      <c r="K557" s="545"/>
      <c r="L557" s="545"/>
      <c r="M557" s="543"/>
    </row>
    <row r="558" spans="1:20" x14ac:dyDescent="0.25">
      <c r="C558" s="557"/>
      <c r="D558" s="557"/>
      <c r="E558" s="557"/>
      <c r="F558" s="558"/>
      <c r="G558" s="558"/>
      <c r="H558" s="293"/>
      <c r="I558" s="559"/>
      <c r="J558" s="559"/>
      <c r="K558" s="559"/>
      <c r="L558" s="559"/>
      <c r="M558" s="558"/>
    </row>
    <row r="559" spans="1:20" x14ac:dyDescent="0.25">
      <c r="C559" s="557"/>
      <c r="D559" s="557"/>
      <c r="E559" s="557"/>
      <c r="F559" s="558"/>
      <c r="G559" s="558"/>
      <c r="H559" s="293"/>
      <c r="I559" s="559"/>
      <c r="J559" s="559"/>
      <c r="K559" s="559"/>
      <c r="L559" s="559"/>
      <c r="M559" s="558"/>
    </row>
    <row r="560" spans="1:20" x14ac:dyDescent="0.25">
      <c r="C560" s="557"/>
      <c r="D560" s="557"/>
      <c r="E560" s="557"/>
      <c r="F560" s="558"/>
      <c r="G560" s="558"/>
      <c r="H560" s="293"/>
      <c r="I560" s="559"/>
      <c r="J560" s="559"/>
      <c r="K560" s="559"/>
      <c r="L560" s="559"/>
      <c r="M560" s="558"/>
    </row>
    <row r="561" spans="3:13" x14ac:dyDescent="0.25">
      <c r="C561" s="557"/>
      <c r="D561" s="557"/>
      <c r="E561" s="557"/>
      <c r="F561" s="558"/>
      <c r="G561" s="558"/>
      <c r="H561" s="293"/>
      <c r="I561" s="559"/>
      <c r="J561" s="559"/>
      <c r="K561" s="559"/>
      <c r="L561" s="559"/>
      <c r="M561" s="558"/>
    </row>
    <row r="562" spans="3:13" x14ac:dyDescent="0.25">
      <c r="C562" s="557"/>
      <c r="D562" s="557"/>
      <c r="E562" s="557"/>
      <c r="F562" s="558"/>
      <c r="G562" s="558"/>
      <c r="H562" s="293"/>
      <c r="I562" s="559"/>
      <c r="J562" s="559"/>
      <c r="K562" s="559"/>
      <c r="L562" s="559"/>
      <c r="M562" s="558"/>
    </row>
    <row r="563" spans="3:13" x14ac:dyDescent="0.25">
      <c r="C563" s="557"/>
      <c r="D563" s="557"/>
      <c r="E563" s="557"/>
      <c r="F563" s="558"/>
      <c r="G563" s="558"/>
      <c r="H563" s="293"/>
      <c r="I563" s="559"/>
      <c r="J563" s="559"/>
      <c r="K563" s="559"/>
      <c r="L563" s="559"/>
      <c r="M563" s="558"/>
    </row>
    <row r="564" spans="3:13" x14ac:dyDescent="0.25">
      <c r="C564" s="557"/>
      <c r="D564" s="557"/>
      <c r="E564" s="557"/>
      <c r="F564" s="558"/>
      <c r="G564" s="558"/>
      <c r="H564" s="293"/>
      <c r="I564" s="559"/>
      <c r="J564" s="559"/>
      <c r="K564" s="559"/>
      <c r="L564" s="559"/>
      <c r="M564" s="558"/>
    </row>
    <row r="565" spans="3:13" x14ac:dyDescent="0.25">
      <c r="C565" s="557"/>
      <c r="D565" s="557"/>
      <c r="E565" s="557"/>
      <c r="F565" s="558"/>
      <c r="G565" s="558"/>
      <c r="H565" s="293"/>
      <c r="I565" s="559"/>
      <c r="J565" s="559"/>
      <c r="K565" s="559"/>
      <c r="L565" s="559"/>
      <c r="M565" s="558"/>
    </row>
    <row r="566" spans="3:13" x14ac:dyDescent="0.25">
      <c r="C566" s="557"/>
      <c r="D566" s="557"/>
      <c r="E566" s="557"/>
      <c r="F566" s="558"/>
      <c r="G566" s="558"/>
      <c r="H566" s="293"/>
      <c r="I566" s="559"/>
      <c r="J566" s="559"/>
      <c r="K566" s="559"/>
      <c r="L566" s="559"/>
      <c r="M566" s="558"/>
    </row>
    <row r="567" spans="3:13" x14ac:dyDescent="0.25">
      <c r="C567" s="557"/>
      <c r="D567" s="557"/>
      <c r="E567" s="557"/>
      <c r="F567" s="558"/>
      <c r="G567" s="558"/>
      <c r="H567" s="293"/>
      <c r="I567" s="559"/>
      <c r="J567" s="559"/>
      <c r="K567" s="559"/>
      <c r="L567" s="559"/>
      <c r="M567" s="558"/>
    </row>
    <row r="568" spans="3:13" x14ac:dyDescent="0.25">
      <c r="C568" s="557"/>
      <c r="D568" s="557"/>
      <c r="E568" s="557"/>
      <c r="F568" s="558"/>
      <c r="G568" s="558"/>
      <c r="H568" s="293"/>
      <c r="I568" s="559"/>
      <c r="J568" s="559"/>
      <c r="K568" s="559"/>
      <c r="L568" s="559"/>
      <c r="M568" s="558"/>
    </row>
    <row r="569" spans="3:13" x14ac:dyDescent="0.25">
      <c r="C569" s="557"/>
      <c r="D569" s="557"/>
      <c r="E569" s="557"/>
      <c r="F569" s="558"/>
      <c r="G569" s="558"/>
      <c r="H569" s="293"/>
      <c r="I569" s="559"/>
      <c r="J569" s="559"/>
      <c r="K569" s="559"/>
      <c r="L569" s="559"/>
      <c r="M569" s="558"/>
    </row>
    <row r="570" spans="3:13" x14ac:dyDescent="0.25">
      <c r="C570" s="557"/>
      <c r="D570" s="557"/>
      <c r="E570" s="557"/>
      <c r="F570" s="558"/>
      <c r="G570" s="558"/>
      <c r="H570" s="293"/>
      <c r="I570" s="559"/>
      <c r="J570" s="559"/>
      <c r="K570" s="559"/>
      <c r="L570" s="559"/>
      <c r="M570" s="558"/>
    </row>
    <row r="571" spans="3:13" x14ac:dyDescent="0.25">
      <c r="C571" s="557"/>
      <c r="D571" s="557"/>
      <c r="E571" s="557"/>
      <c r="F571" s="558"/>
      <c r="G571" s="558"/>
      <c r="H571" s="293"/>
      <c r="I571" s="559"/>
      <c r="J571" s="559"/>
      <c r="K571" s="559"/>
      <c r="L571" s="559"/>
      <c r="M571" s="558"/>
    </row>
    <row r="572" spans="3:13" x14ac:dyDescent="0.25">
      <c r="C572" s="557"/>
      <c r="D572" s="557"/>
      <c r="E572" s="557"/>
      <c r="F572" s="558"/>
      <c r="G572" s="558"/>
      <c r="H572" s="293"/>
      <c r="I572" s="559"/>
      <c r="J572" s="559"/>
      <c r="K572" s="559"/>
      <c r="L572" s="559"/>
      <c r="M572" s="558"/>
    </row>
    <row r="573" spans="3:13" x14ac:dyDescent="0.25">
      <c r="C573" s="557"/>
      <c r="D573" s="557"/>
      <c r="E573" s="557"/>
      <c r="F573" s="558"/>
      <c r="G573" s="558"/>
      <c r="H573" s="293"/>
      <c r="I573" s="559"/>
      <c r="J573" s="559"/>
      <c r="K573" s="559"/>
      <c r="L573" s="559"/>
      <c r="M573" s="558"/>
    </row>
    <row r="574" spans="3:13" x14ac:dyDescent="0.25">
      <c r="C574" s="557"/>
      <c r="D574" s="557"/>
      <c r="E574" s="557"/>
      <c r="F574" s="558"/>
      <c r="G574" s="558"/>
      <c r="H574" s="293"/>
      <c r="I574" s="559"/>
      <c r="J574" s="559"/>
      <c r="K574" s="559"/>
      <c r="L574" s="559"/>
      <c r="M574" s="558"/>
    </row>
    <row r="575" spans="3:13" x14ac:dyDescent="0.25">
      <c r="C575" s="557"/>
      <c r="D575" s="557"/>
      <c r="E575" s="557"/>
      <c r="F575" s="558"/>
      <c r="G575" s="558"/>
      <c r="H575" s="293"/>
      <c r="I575" s="559"/>
      <c r="J575" s="559"/>
      <c r="K575" s="559"/>
      <c r="L575" s="559"/>
      <c r="M575" s="558"/>
    </row>
    <row r="576" spans="3:13" x14ac:dyDescent="0.25">
      <c r="C576" s="557"/>
      <c r="D576" s="557"/>
      <c r="E576" s="557"/>
      <c r="F576" s="558"/>
      <c r="G576" s="558"/>
      <c r="H576" s="293"/>
      <c r="I576" s="559"/>
      <c r="J576" s="559"/>
      <c r="K576" s="559"/>
      <c r="L576" s="559"/>
      <c r="M576" s="558"/>
    </row>
    <row r="577" spans="3:13" x14ac:dyDescent="0.25">
      <c r="C577" s="557"/>
      <c r="D577" s="557"/>
      <c r="E577" s="557"/>
      <c r="F577" s="558"/>
      <c r="G577" s="558"/>
      <c r="H577" s="293"/>
      <c r="I577" s="559"/>
      <c r="J577" s="559"/>
      <c r="K577" s="559"/>
      <c r="L577" s="559"/>
      <c r="M577" s="558"/>
    </row>
    <row r="578" spans="3:13" x14ac:dyDescent="0.25">
      <c r="C578" s="557"/>
      <c r="D578" s="557"/>
      <c r="E578" s="557"/>
      <c r="F578" s="558"/>
      <c r="G578" s="558"/>
      <c r="H578" s="293"/>
      <c r="I578" s="559"/>
      <c r="J578" s="559"/>
      <c r="K578" s="559"/>
      <c r="L578" s="559"/>
      <c r="M578" s="558"/>
    </row>
    <row r="579" spans="3:13" x14ac:dyDescent="0.25">
      <c r="C579" s="557"/>
      <c r="D579" s="557"/>
      <c r="E579" s="557"/>
      <c r="F579" s="558"/>
      <c r="G579" s="558"/>
      <c r="H579" s="293"/>
      <c r="I579" s="559"/>
      <c r="J579" s="559"/>
      <c r="K579" s="559"/>
      <c r="L579" s="559"/>
      <c r="M579" s="558"/>
    </row>
    <row r="580" spans="3:13" x14ac:dyDescent="0.25">
      <c r="C580" s="557"/>
      <c r="D580" s="557"/>
      <c r="E580" s="557"/>
      <c r="F580" s="558"/>
      <c r="G580" s="558"/>
      <c r="H580" s="293"/>
      <c r="I580" s="559"/>
      <c r="J580" s="559"/>
      <c r="K580" s="559"/>
      <c r="L580" s="559"/>
      <c r="M580" s="558"/>
    </row>
    <row r="581" spans="3:13" x14ac:dyDescent="0.25">
      <c r="C581" s="557"/>
      <c r="D581" s="557"/>
      <c r="E581" s="557"/>
      <c r="F581" s="558"/>
      <c r="G581" s="558"/>
      <c r="H581" s="293"/>
      <c r="I581" s="559"/>
      <c r="J581" s="559"/>
      <c r="K581" s="559"/>
      <c r="L581" s="559"/>
      <c r="M581" s="558"/>
    </row>
    <row r="582" spans="3:13" x14ac:dyDescent="0.25">
      <c r="C582" s="557"/>
      <c r="D582" s="557"/>
      <c r="E582" s="557"/>
      <c r="F582" s="558"/>
      <c r="G582" s="558"/>
      <c r="H582" s="293"/>
      <c r="I582" s="559"/>
      <c r="J582" s="559"/>
      <c r="K582" s="559"/>
      <c r="L582" s="559"/>
      <c r="M582" s="558"/>
    </row>
    <row r="583" spans="3:13" x14ac:dyDescent="0.25">
      <c r="C583" s="557"/>
      <c r="D583" s="557"/>
      <c r="E583" s="557"/>
      <c r="F583" s="558"/>
      <c r="G583" s="558"/>
      <c r="H583" s="293"/>
      <c r="I583" s="559"/>
      <c r="J583" s="559"/>
      <c r="K583" s="559"/>
      <c r="L583" s="559"/>
      <c r="M583" s="558"/>
    </row>
    <row r="584" spans="3:13" x14ac:dyDescent="0.25">
      <c r="C584" s="557"/>
      <c r="D584" s="557"/>
      <c r="E584" s="557"/>
      <c r="F584" s="558"/>
      <c r="G584" s="558"/>
      <c r="H584" s="293"/>
      <c r="I584" s="559"/>
      <c r="J584" s="559"/>
      <c r="K584" s="559"/>
      <c r="L584" s="559"/>
      <c r="M584" s="558"/>
    </row>
    <row r="585" spans="3:13" x14ac:dyDescent="0.25">
      <c r="C585" s="557"/>
      <c r="D585" s="557"/>
      <c r="E585" s="557"/>
      <c r="F585" s="558"/>
      <c r="G585" s="558"/>
      <c r="H585" s="293"/>
      <c r="I585" s="559"/>
      <c r="J585" s="559"/>
      <c r="K585" s="559"/>
      <c r="L585" s="559"/>
      <c r="M585" s="558"/>
    </row>
    <row r="586" spans="3:13" x14ac:dyDescent="0.25">
      <c r="C586" s="557"/>
      <c r="D586" s="557"/>
      <c r="E586" s="557"/>
      <c r="F586" s="558"/>
      <c r="G586" s="558"/>
      <c r="H586" s="293"/>
      <c r="I586" s="559"/>
      <c r="J586" s="559"/>
      <c r="K586" s="559"/>
      <c r="L586" s="559"/>
      <c r="M586" s="558"/>
    </row>
    <row r="587" spans="3:13" x14ac:dyDescent="0.25">
      <c r="C587" s="557"/>
      <c r="D587" s="557"/>
      <c r="E587" s="557"/>
      <c r="F587" s="558"/>
      <c r="G587" s="558"/>
      <c r="H587" s="293"/>
      <c r="I587" s="559"/>
      <c r="J587" s="559"/>
      <c r="K587" s="559"/>
      <c r="L587" s="559"/>
      <c r="M587" s="558"/>
    </row>
    <row r="588" spans="3:13" x14ac:dyDescent="0.25">
      <c r="C588" s="557"/>
      <c r="D588" s="557"/>
      <c r="E588" s="557"/>
      <c r="F588" s="558"/>
      <c r="G588" s="558"/>
      <c r="H588" s="293"/>
      <c r="I588" s="559"/>
      <c r="J588" s="559"/>
      <c r="K588" s="559"/>
      <c r="L588" s="559"/>
      <c r="M588" s="558"/>
    </row>
    <row r="589" spans="3:13" x14ac:dyDescent="0.25">
      <c r="C589" s="557"/>
      <c r="D589" s="557"/>
      <c r="E589" s="557"/>
      <c r="F589" s="558"/>
      <c r="G589" s="558"/>
      <c r="H589" s="293"/>
      <c r="I589" s="559"/>
      <c r="J589" s="559"/>
      <c r="K589" s="559"/>
      <c r="L589" s="559"/>
      <c r="M589" s="558"/>
    </row>
    <row r="590" spans="3:13" x14ac:dyDescent="0.25">
      <c r="C590" s="557"/>
      <c r="D590" s="557"/>
      <c r="E590" s="557"/>
      <c r="F590" s="558"/>
      <c r="G590" s="558"/>
      <c r="H590" s="293"/>
      <c r="I590" s="559"/>
      <c r="J590" s="559"/>
      <c r="K590" s="559"/>
      <c r="L590" s="559"/>
      <c r="M590" s="558"/>
    </row>
    <row r="591" spans="3:13" x14ac:dyDescent="0.25">
      <c r="C591" s="557"/>
      <c r="D591" s="557"/>
      <c r="E591" s="557"/>
      <c r="F591" s="558"/>
      <c r="G591" s="558"/>
      <c r="H591" s="293"/>
      <c r="I591" s="559"/>
      <c r="J591" s="559"/>
      <c r="K591" s="559"/>
      <c r="L591" s="559"/>
      <c r="M591" s="558"/>
    </row>
    <row r="592" spans="3:13" x14ac:dyDescent="0.25">
      <c r="C592" s="557"/>
      <c r="D592" s="557"/>
      <c r="E592" s="557"/>
      <c r="F592" s="558"/>
      <c r="G592" s="558"/>
      <c r="H592" s="293"/>
      <c r="I592" s="559"/>
      <c r="J592" s="559"/>
      <c r="K592" s="559"/>
      <c r="L592" s="559"/>
      <c r="M592" s="558"/>
    </row>
    <row r="593" spans="3:13" x14ac:dyDescent="0.25">
      <c r="C593" s="557"/>
      <c r="D593" s="557"/>
      <c r="E593" s="557"/>
      <c r="F593" s="558"/>
      <c r="G593" s="558"/>
      <c r="H593" s="293"/>
      <c r="I593" s="559"/>
      <c r="J593" s="559"/>
      <c r="K593" s="559"/>
      <c r="L593" s="559"/>
      <c r="M593" s="558"/>
    </row>
    <row r="594" spans="3:13" x14ac:dyDescent="0.25">
      <c r="C594" s="557"/>
      <c r="D594" s="557"/>
      <c r="E594" s="557"/>
      <c r="F594" s="558"/>
      <c r="G594" s="558"/>
      <c r="H594" s="293"/>
      <c r="I594" s="559"/>
      <c r="J594" s="559"/>
      <c r="K594" s="559"/>
      <c r="L594" s="559"/>
      <c r="M594" s="558"/>
    </row>
    <row r="595" spans="3:13" x14ac:dyDescent="0.25">
      <c r="C595" s="557"/>
      <c r="D595" s="557"/>
      <c r="E595" s="557"/>
      <c r="F595" s="558"/>
      <c r="G595" s="558"/>
      <c r="H595" s="293"/>
      <c r="I595" s="559"/>
      <c r="J595" s="559"/>
      <c r="K595" s="559"/>
      <c r="L595" s="559"/>
      <c r="M595" s="558"/>
    </row>
    <row r="596" spans="3:13" x14ac:dyDescent="0.25">
      <c r="C596" s="557"/>
      <c r="D596" s="557"/>
      <c r="E596" s="557"/>
      <c r="F596" s="558"/>
      <c r="G596" s="558"/>
      <c r="H596" s="293"/>
      <c r="I596" s="559"/>
      <c r="J596" s="559"/>
      <c r="K596" s="559"/>
      <c r="L596" s="559"/>
      <c r="M596" s="558"/>
    </row>
    <row r="597" spans="3:13" x14ac:dyDescent="0.25">
      <c r="C597" s="557"/>
      <c r="D597" s="557"/>
      <c r="E597" s="557"/>
      <c r="F597" s="558"/>
      <c r="G597" s="558"/>
      <c r="H597" s="293"/>
      <c r="I597" s="559"/>
      <c r="J597" s="559"/>
      <c r="K597" s="559"/>
      <c r="L597" s="559"/>
      <c r="M597" s="558"/>
    </row>
    <row r="598" spans="3:13" x14ac:dyDescent="0.25">
      <c r="C598" s="557"/>
      <c r="D598" s="557"/>
      <c r="E598" s="557"/>
      <c r="F598" s="558"/>
      <c r="G598" s="558"/>
      <c r="H598" s="293"/>
      <c r="I598" s="559"/>
      <c r="J598" s="559"/>
      <c r="K598" s="559"/>
      <c r="L598" s="559"/>
      <c r="M598" s="558"/>
    </row>
    <row r="599" spans="3:13" x14ac:dyDescent="0.25">
      <c r="C599" s="557"/>
      <c r="D599" s="557"/>
      <c r="E599" s="557"/>
      <c r="F599" s="558"/>
      <c r="G599" s="558"/>
      <c r="H599" s="293"/>
      <c r="I599" s="559"/>
      <c r="J599" s="559"/>
      <c r="K599" s="559"/>
      <c r="L599" s="559"/>
      <c r="M599" s="558"/>
    </row>
    <row r="600" spans="3:13" x14ac:dyDescent="0.25">
      <c r="C600" s="557"/>
      <c r="D600" s="557"/>
      <c r="E600" s="557"/>
      <c r="F600" s="558"/>
      <c r="G600" s="558"/>
      <c r="H600" s="293"/>
      <c r="I600" s="559"/>
      <c r="J600" s="559"/>
      <c r="K600" s="559"/>
      <c r="L600" s="559"/>
      <c r="M600" s="558"/>
    </row>
    <row r="601" spans="3:13" x14ac:dyDescent="0.25">
      <c r="C601" s="557"/>
      <c r="D601" s="557"/>
      <c r="E601" s="557"/>
      <c r="F601" s="558"/>
      <c r="G601" s="558"/>
      <c r="H601" s="293"/>
      <c r="I601" s="559"/>
      <c r="J601" s="559"/>
      <c r="K601" s="559"/>
      <c r="L601" s="559"/>
      <c r="M601" s="558"/>
    </row>
    <row r="602" spans="3:13" x14ac:dyDescent="0.25">
      <c r="C602" s="557"/>
      <c r="D602" s="557"/>
      <c r="E602" s="557"/>
      <c r="F602" s="558"/>
      <c r="G602" s="558"/>
      <c r="H602" s="293"/>
      <c r="I602" s="559"/>
      <c r="J602" s="559"/>
      <c r="K602" s="559"/>
      <c r="L602" s="559"/>
      <c r="M602" s="558"/>
    </row>
    <row r="603" spans="3:13" x14ac:dyDescent="0.25">
      <c r="C603" s="557"/>
      <c r="D603" s="557"/>
      <c r="E603" s="557"/>
      <c r="F603" s="558"/>
      <c r="G603" s="558"/>
      <c r="H603" s="293"/>
      <c r="I603" s="559"/>
      <c r="J603" s="559"/>
      <c r="K603" s="559"/>
      <c r="L603" s="559"/>
      <c r="M603" s="558"/>
    </row>
    <row r="604" spans="3:13" x14ac:dyDescent="0.25">
      <c r="C604" s="557"/>
      <c r="D604" s="557"/>
      <c r="E604" s="557"/>
      <c r="F604" s="558"/>
      <c r="G604" s="558"/>
      <c r="H604" s="293"/>
      <c r="I604" s="559"/>
      <c r="J604" s="559"/>
      <c r="K604" s="559"/>
      <c r="L604" s="559"/>
      <c r="M604" s="558"/>
    </row>
    <row r="605" spans="3:13" x14ac:dyDescent="0.25">
      <c r="C605" s="557"/>
      <c r="D605" s="557"/>
      <c r="E605" s="557"/>
      <c r="F605" s="558"/>
      <c r="G605" s="558"/>
      <c r="H605" s="293"/>
      <c r="I605" s="559"/>
      <c r="J605" s="559"/>
      <c r="K605" s="559"/>
      <c r="L605" s="559"/>
      <c r="M605" s="558"/>
    </row>
    <row r="606" spans="3:13" x14ac:dyDescent="0.25">
      <c r="C606" s="557"/>
      <c r="D606" s="557"/>
      <c r="E606" s="557"/>
      <c r="F606" s="558"/>
      <c r="G606" s="558"/>
      <c r="H606" s="293"/>
      <c r="I606" s="559"/>
      <c r="J606" s="559"/>
      <c r="K606" s="559"/>
      <c r="L606" s="559"/>
      <c r="M606" s="558"/>
    </row>
    <row r="607" spans="3:13" x14ac:dyDescent="0.25">
      <c r="C607" s="557"/>
      <c r="D607" s="557"/>
      <c r="E607" s="557"/>
      <c r="F607" s="558"/>
      <c r="G607" s="558"/>
      <c r="H607" s="293"/>
      <c r="I607" s="559"/>
      <c r="J607" s="559"/>
      <c r="K607" s="559"/>
      <c r="L607" s="559"/>
      <c r="M607" s="558"/>
    </row>
    <row r="608" spans="3:13" x14ac:dyDescent="0.25">
      <c r="C608" s="557"/>
      <c r="D608" s="557"/>
      <c r="E608" s="557"/>
      <c r="F608" s="558"/>
      <c r="G608" s="558"/>
      <c r="H608" s="293"/>
      <c r="I608" s="559"/>
      <c r="J608" s="559"/>
      <c r="K608" s="559"/>
      <c r="L608" s="559"/>
      <c r="M608" s="558"/>
    </row>
    <row r="609" spans="3:13" x14ac:dyDescent="0.25">
      <c r="C609" s="557"/>
      <c r="D609" s="557"/>
      <c r="E609" s="557"/>
      <c r="F609" s="558"/>
      <c r="G609" s="558"/>
      <c r="H609" s="293"/>
      <c r="I609" s="559"/>
      <c r="J609" s="559"/>
      <c r="K609" s="559"/>
      <c r="L609" s="559"/>
      <c r="M609" s="558"/>
    </row>
    <row r="610" spans="3:13" x14ac:dyDescent="0.25">
      <c r="C610" s="557"/>
      <c r="D610" s="557"/>
      <c r="E610" s="557"/>
      <c r="F610" s="558"/>
      <c r="G610" s="558"/>
      <c r="H610" s="293"/>
      <c r="I610" s="559"/>
      <c r="J610" s="559"/>
      <c r="K610" s="559"/>
      <c r="L610" s="559"/>
      <c r="M610" s="558"/>
    </row>
    <row r="611" spans="3:13" x14ac:dyDescent="0.25">
      <c r="C611" s="557"/>
      <c r="D611" s="557"/>
      <c r="E611" s="557"/>
      <c r="F611" s="558"/>
      <c r="G611" s="558"/>
      <c r="H611" s="293"/>
      <c r="I611" s="559"/>
      <c r="J611" s="559"/>
      <c r="K611" s="559"/>
      <c r="L611" s="559"/>
      <c r="M611" s="558"/>
    </row>
    <row r="612" spans="3:13" x14ac:dyDescent="0.25">
      <c r="C612" s="557"/>
      <c r="D612" s="557"/>
      <c r="E612" s="557"/>
      <c r="F612" s="558"/>
      <c r="G612" s="558"/>
      <c r="H612" s="293"/>
      <c r="I612" s="559"/>
      <c r="J612" s="559"/>
      <c r="K612" s="559"/>
      <c r="L612" s="559"/>
      <c r="M612" s="558"/>
    </row>
    <row r="613" spans="3:13" x14ac:dyDescent="0.25">
      <c r="C613" s="557"/>
      <c r="D613" s="557"/>
      <c r="E613" s="557"/>
      <c r="F613" s="558"/>
      <c r="G613" s="558"/>
      <c r="H613" s="293"/>
      <c r="I613" s="559"/>
      <c r="J613" s="559"/>
      <c r="K613" s="559"/>
      <c r="L613" s="559"/>
      <c r="M613" s="558"/>
    </row>
    <row r="614" spans="3:13" x14ac:dyDescent="0.25">
      <c r="C614" s="557"/>
      <c r="D614" s="557"/>
      <c r="E614" s="557"/>
      <c r="F614" s="558"/>
      <c r="G614" s="558"/>
      <c r="H614" s="293"/>
      <c r="I614" s="559"/>
      <c r="J614" s="559"/>
      <c r="K614" s="559"/>
      <c r="L614" s="559"/>
      <c r="M614" s="558"/>
    </row>
    <row r="615" spans="3:13" x14ac:dyDescent="0.25">
      <c r="C615" s="557"/>
      <c r="D615" s="557"/>
      <c r="E615" s="557"/>
      <c r="F615" s="558"/>
      <c r="G615" s="558"/>
      <c r="H615" s="293"/>
      <c r="I615" s="559"/>
      <c r="J615" s="559"/>
      <c r="K615" s="559"/>
      <c r="L615" s="559"/>
      <c r="M615" s="558"/>
    </row>
    <row r="616" spans="3:13" x14ac:dyDescent="0.25">
      <c r="C616" s="557"/>
      <c r="D616" s="557"/>
      <c r="E616" s="557"/>
      <c r="F616" s="558"/>
      <c r="G616" s="558"/>
      <c r="H616" s="293"/>
      <c r="I616" s="559"/>
      <c r="J616" s="559"/>
      <c r="K616" s="559"/>
      <c r="L616" s="559"/>
      <c r="M616" s="558"/>
    </row>
    <row r="617" spans="3:13" x14ac:dyDescent="0.25">
      <c r="C617" s="557"/>
      <c r="D617" s="557"/>
      <c r="E617" s="557"/>
      <c r="F617" s="558"/>
      <c r="G617" s="558"/>
      <c r="H617" s="293"/>
      <c r="I617" s="559"/>
      <c r="J617" s="559"/>
      <c r="K617" s="559"/>
      <c r="L617" s="559"/>
      <c r="M617" s="558"/>
    </row>
    <row r="618" spans="3:13" x14ac:dyDescent="0.25">
      <c r="C618" s="557"/>
      <c r="D618" s="557"/>
      <c r="E618" s="557"/>
      <c r="F618" s="558"/>
      <c r="G618" s="558"/>
      <c r="H618" s="293"/>
      <c r="I618" s="559"/>
      <c r="J618" s="559"/>
      <c r="K618" s="559"/>
      <c r="L618" s="559"/>
      <c r="M618" s="558"/>
    </row>
    <row r="619" spans="3:13" x14ac:dyDescent="0.25">
      <c r="C619" s="557"/>
      <c r="D619" s="557"/>
      <c r="E619" s="557"/>
      <c r="F619" s="558"/>
      <c r="G619" s="558"/>
      <c r="H619" s="293"/>
      <c r="I619" s="559"/>
      <c r="J619" s="559"/>
      <c r="K619" s="559"/>
      <c r="L619" s="559"/>
      <c r="M619" s="558"/>
    </row>
    <row r="620" spans="3:13" x14ac:dyDescent="0.25">
      <c r="C620" s="557"/>
      <c r="D620" s="557"/>
      <c r="E620" s="557"/>
      <c r="F620" s="558"/>
      <c r="G620" s="558"/>
      <c r="H620" s="293"/>
      <c r="I620" s="559"/>
      <c r="J620" s="559"/>
      <c r="K620" s="559"/>
      <c r="L620" s="559"/>
      <c r="M620" s="558"/>
    </row>
    <row r="621" spans="3:13" x14ac:dyDescent="0.25">
      <c r="C621" s="557"/>
      <c r="D621" s="557"/>
      <c r="E621" s="557"/>
      <c r="F621" s="558"/>
      <c r="G621" s="558"/>
      <c r="H621" s="293"/>
      <c r="I621" s="559"/>
      <c r="J621" s="559"/>
      <c r="K621" s="559"/>
      <c r="L621" s="559"/>
      <c r="M621" s="558"/>
    </row>
    <row r="622" spans="3:13" x14ac:dyDescent="0.25">
      <c r="C622" s="557"/>
      <c r="D622" s="557"/>
      <c r="E622" s="557"/>
      <c r="F622" s="558"/>
      <c r="G622" s="558"/>
      <c r="H622" s="293"/>
      <c r="I622" s="559"/>
      <c r="J622" s="559"/>
      <c r="K622" s="559"/>
      <c r="L622" s="559"/>
      <c r="M622" s="558"/>
    </row>
    <row r="623" spans="3:13" x14ac:dyDescent="0.25">
      <c r="C623" s="557"/>
      <c r="D623" s="557"/>
      <c r="E623" s="557"/>
      <c r="F623" s="558"/>
      <c r="G623" s="558"/>
      <c r="H623" s="293"/>
      <c r="I623" s="559"/>
      <c r="J623" s="559"/>
      <c r="K623" s="559"/>
      <c r="L623" s="559"/>
      <c r="M623" s="558"/>
    </row>
    <row r="624" spans="3:13" x14ac:dyDescent="0.25">
      <c r="C624" s="557"/>
      <c r="D624" s="557"/>
      <c r="E624" s="557"/>
      <c r="F624" s="558"/>
      <c r="G624" s="558"/>
      <c r="H624" s="293"/>
      <c r="I624" s="559"/>
      <c r="J624" s="559"/>
      <c r="K624" s="559"/>
      <c r="L624" s="559"/>
      <c r="M624" s="558"/>
    </row>
    <row r="625" spans="3:13" x14ac:dyDescent="0.25">
      <c r="C625" s="557"/>
      <c r="D625" s="557"/>
      <c r="E625" s="557"/>
      <c r="F625" s="558"/>
      <c r="G625" s="558"/>
      <c r="H625" s="293"/>
      <c r="I625" s="559"/>
      <c r="J625" s="559"/>
      <c r="K625" s="559"/>
      <c r="L625" s="559"/>
      <c r="M625" s="558"/>
    </row>
    <row r="626" spans="3:13" x14ac:dyDescent="0.25">
      <c r="C626" s="557"/>
      <c r="D626" s="557"/>
      <c r="E626" s="557"/>
      <c r="F626" s="558"/>
      <c r="G626" s="558"/>
      <c r="H626" s="293"/>
      <c r="I626" s="559"/>
      <c r="J626" s="559"/>
      <c r="K626" s="559"/>
      <c r="L626" s="559"/>
      <c r="M626" s="558"/>
    </row>
    <row r="627" spans="3:13" x14ac:dyDescent="0.25">
      <c r="C627" s="557"/>
      <c r="D627" s="557"/>
      <c r="E627" s="557"/>
      <c r="F627" s="558"/>
      <c r="G627" s="558"/>
      <c r="H627" s="293"/>
      <c r="I627" s="559"/>
      <c r="J627" s="559"/>
      <c r="K627" s="559"/>
      <c r="L627" s="559"/>
      <c r="M627" s="558"/>
    </row>
    <row r="628" spans="3:13" x14ac:dyDescent="0.25">
      <c r="C628" s="557"/>
      <c r="D628" s="557"/>
      <c r="E628" s="557"/>
      <c r="F628" s="558"/>
      <c r="G628" s="558"/>
      <c r="H628" s="293"/>
      <c r="I628" s="559"/>
      <c r="J628" s="559"/>
      <c r="K628" s="559"/>
      <c r="L628" s="559"/>
      <c r="M628" s="558"/>
    </row>
    <row r="629" spans="3:13" x14ac:dyDescent="0.25">
      <c r="C629" s="557"/>
      <c r="D629" s="557"/>
      <c r="E629" s="557"/>
      <c r="F629" s="558"/>
      <c r="G629" s="558"/>
      <c r="H629" s="293"/>
      <c r="I629" s="559"/>
      <c r="J629" s="559"/>
      <c r="K629" s="559"/>
      <c r="L629" s="559"/>
      <c r="M629" s="558"/>
    </row>
    <row r="630" spans="3:13" x14ac:dyDescent="0.25">
      <c r="C630" s="557"/>
      <c r="D630" s="557"/>
      <c r="E630" s="557"/>
      <c r="F630" s="558"/>
      <c r="G630" s="558"/>
      <c r="H630" s="293"/>
      <c r="I630" s="559"/>
      <c r="J630" s="559"/>
      <c r="K630" s="559"/>
      <c r="L630" s="559"/>
      <c r="M630" s="558"/>
    </row>
    <row r="631" spans="3:13" x14ac:dyDescent="0.25">
      <c r="C631" s="557"/>
      <c r="D631" s="557"/>
      <c r="E631" s="557"/>
      <c r="F631" s="558"/>
      <c r="G631" s="558"/>
      <c r="H631" s="293"/>
      <c r="I631" s="559"/>
      <c r="J631" s="559"/>
      <c r="K631" s="559"/>
      <c r="L631" s="559"/>
      <c r="M631" s="558"/>
    </row>
    <row r="632" spans="3:13" x14ac:dyDescent="0.25">
      <c r="C632" s="557"/>
      <c r="D632" s="557"/>
      <c r="E632" s="557"/>
      <c r="F632" s="558"/>
      <c r="G632" s="558"/>
      <c r="H632" s="293"/>
      <c r="I632" s="559"/>
      <c r="J632" s="559"/>
      <c r="K632" s="559"/>
      <c r="L632" s="559"/>
      <c r="M632" s="558"/>
    </row>
    <row r="633" spans="3:13" x14ac:dyDescent="0.25">
      <c r="C633" s="557"/>
      <c r="D633" s="557"/>
      <c r="E633" s="557"/>
      <c r="F633" s="558"/>
      <c r="G633" s="558"/>
      <c r="H633" s="293"/>
      <c r="I633" s="559"/>
      <c r="J633" s="559"/>
      <c r="K633" s="559"/>
      <c r="L633" s="559"/>
      <c r="M633" s="558"/>
    </row>
    <row r="634" spans="3:13" x14ac:dyDescent="0.25">
      <c r="C634" s="557"/>
      <c r="D634" s="557"/>
      <c r="E634" s="557"/>
      <c r="F634" s="558"/>
      <c r="G634" s="558"/>
      <c r="H634" s="293"/>
      <c r="I634" s="559"/>
      <c r="J634" s="559"/>
      <c r="K634" s="559"/>
      <c r="L634" s="559"/>
      <c r="M634" s="558"/>
    </row>
    <row r="635" spans="3:13" x14ac:dyDescent="0.25">
      <c r="C635" s="557"/>
      <c r="D635" s="557"/>
      <c r="E635" s="557"/>
      <c r="F635" s="558"/>
      <c r="G635" s="558"/>
      <c r="H635" s="293"/>
      <c r="I635" s="559"/>
      <c r="J635" s="559"/>
      <c r="K635" s="559"/>
      <c r="L635" s="559"/>
      <c r="M635" s="558"/>
    </row>
    <row r="636" spans="3:13" x14ac:dyDescent="0.25">
      <c r="C636" s="557"/>
      <c r="D636" s="557"/>
      <c r="E636" s="557"/>
      <c r="F636" s="558"/>
      <c r="G636" s="558"/>
      <c r="H636" s="293"/>
      <c r="I636" s="559"/>
      <c r="J636" s="559"/>
      <c r="K636" s="559"/>
      <c r="L636" s="559"/>
      <c r="M636" s="558"/>
    </row>
    <row r="637" spans="3:13" x14ac:dyDescent="0.25">
      <c r="C637" s="557"/>
      <c r="D637" s="557"/>
      <c r="E637" s="557"/>
      <c r="F637" s="558"/>
      <c r="G637" s="558"/>
      <c r="H637" s="293"/>
      <c r="I637" s="559"/>
      <c r="J637" s="559"/>
      <c r="K637" s="559"/>
      <c r="L637" s="559"/>
      <c r="M637" s="558"/>
    </row>
    <row r="638" spans="3:13" x14ac:dyDescent="0.25">
      <c r="C638" s="557"/>
      <c r="D638" s="557"/>
      <c r="E638" s="557"/>
      <c r="F638" s="558"/>
      <c r="G638" s="558"/>
      <c r="H638" s="293"/>
      <c r="I638" s="559"/>
      <c r="J638" s="559"/>
      <c r="K638" s="559"/>
      <c r="L638" s="559"/>
      <c r="M638" s="558"/>
    </row>
    <row r="639" spans="3:13" x14ac:dyDescent="0.25">
      <c r="C639" s="557"/>
      <c r="D639" s="557"/>
      <c r="E639" s="557"/>
      <c r="F639" s="558"/>
      <c r="G639" s="558"/>
      <c r="H639" s="293"/>
      <c r="I639" s="559"/>
      <c r="J639" s="559"/>
      <c r="K639" s="559"/>
      <c r="L639" s="559"/>
      <c r="M639" s="558"/>
    </row>
    <row r="640" spans="3:13" x14ac:dyDescent="0.25">
      <c r="C640" s="557"/>
      <c r="D640" s="557"/>
      <c r="E640" s="557"/>
      <c r="F640" s="558"/>
      <c r="G640" s="558"/>
      <c r="H640" s="293"/>
      <c r="I640" s="559"/>
      <c r="J640" s="559"/>
      <c r="K640" s="559"/>
      <c r="L640" s="559"/>
      <c r="M640" s="558"/>
    </row>
    <row r="641" spans="3:13" x14ac:dyDescent="0.25">
      <c r="C641" s="557"/>
      <c r="D641" s="557"/>
      <c r="E641" s="557"/>
      <c r="F641" s="558"/>
      <c r="G641" s="558"/>
      <c r="H641" s="293"/>
      <c r="I641" s="559"/>
      <c r="J641" s="559"/>
      <c r="K641" s="559"/>
      <c r="L641" s="559"/>
      <c r="M641" s="558"/>
    </row>
    <row r="642" spans="3:13" x14ac:dyDescent="0.25">
      <c r="C642" s="557"/>
      <c r="D642" s="557"/>
      <c r="E642" s="557"/>
      <c r="F642" s="558"/>
      <c r="G642" s="558"/>
      <c r="H642" s="293"/>
      <c r="I642" s="559"/>
      <c r="J642" s="559"/>
      <c r="K642" s="559"/>
      <c r="L642" s="559"/>
      <c r="M642" s="558"/>
    </row>
    <row r="643" spans="3:13" x14ac:dyDescent="0.25">
      <c r="C643" s="557"/>
      <c r="D643" s="557"/>
      <c r="E643" s="557"/>
      <c r="F643" s="558"/>
      <c r="G643" s="558"/>
      <c r="H643" s="293"/>
      <c r="I643" s="559"/>
      <c r="J643" s="559"/>
      <c r="K643" s="559"/>
      <c r="L643" s="559"/>
      <c r="M643" s="558"/>
    </row>
    <row r="644" spans="3:13" x14ac:dyDescent="0.25">
      <c r="C644" s="557"/>
      <c r="D644" s="557"/>
      <c r="E644" s="557"/>
      <c r="F644" s="558"/>
      <c r="G644" s="558"/>
      <c r="H644" s="293"/>
      <c r="I644" s="559"/>
      <c r="J644" s="559"/>
      <c r="K644" s="559"/>
      <c r="L644" s="559"/>
      <c r="M644" s="558"/>
    </row>
    <row r="645" spans="3:13" x14ac:dyDescent="0.25">
      <c r="C645" s="557"/>
      <c r="D645" s="557"/>
      <c r="E645" s="557"/>
      <c r="F645" s="558"/>
      <c r="G645" s="558"/>
      <c r="H645" s="293"/>
      <c r="I645" s="559"/>
      <c r="J645" s="559"/>
      <c r="K645" s="559"/>
      <c r="L645" s="559"/>
      <c r="M645" s="558"/>
    </row>
    <row r="646" spans="3:13" x14ac:dyDescent="0.25">
      <c r="C646" s="557"/>
      <c r="D646" s="557"/>
      <c r="E646" s="557"/>
      <c r="F646" s="558"/>
      <c r="G646" s="558"/>
      <c r="H646" s="293"/>
      <c r="I646" s="559"/>
      <c r="J646" s="559"/>
      <c r="K646" s="559"/>
      <c r="L646" s="559"/>
      <c r="M646" s="558"/>
    </row>
    <row r="647" spans="3:13" x14ac:dyDescent="0.25">
      <c r="C647" s="557"/>
      <c r="D647" s="557"/>
      <c r="E647" s="557"/>
      <c r="F647" s="558"/>
      <c r="G647" s="558"/>
      <c r="H647" s="293"/>
      <c r="I647" s="559"/>
      <c r="J647" s="559"/>
      <c r="K647" s="559"/>
      <c r="L647" s="559"/>
      <c r="M647" s="558"/>
    </row>
    <row r="648" spans="3:13" x14ac:dyDescent="0.25">
      <c r="C648" s="557"/>
      <c r="D648" s="557"/>
      <c r="E648" s="557"/>
      <c r="F648" s="558"/>
      <c r="G648" s="558"/>
      <c r="H648" s="293"/>
      <c r="I648" s="559"/>
      <c r="J648" s="559"/>
      <c r="K648" s="559"/>
      <c r="L648" s="559"/>
      <c r="M648" s="558"/>
    </row>
    <row r="649" spans="3:13" x14ac:dyDescent="0.25">
      <c r="C649" s="557"/>
      <c r="D649" s="557"/>
      <c r="E649" s="557"/>
      <c r="F649" s="558"/>
      <c r="G649" s="558"/>
      <c r="H649" s="293"/>
      <c r="I649" s="559"/>
      <c r="J649" s="559"/>
      <c r="K649" s="559"/>
      <c r="L649" s="559"/>
      <c r="M649" s="558"/>
    </row>
    <row r="650" spans="3:13" x14ac:dyDescent="0.25">
      <c r="C650" s="557"/>
      <c r="D650" s="557"/>
      <c r="E650" s="557"/>
      <c r="F650" s="558"/>
      <c r="G650" s="558"/>
      <c r="H650" s="293"/>
      <c r="I650" s="559"/>
      <c r="J650" s="559"/>
      <c r="K650" s="559"/>
      <c r="L650" s="559"/>
      <c r="M650" s="558"/>
    </row>
    <row r="651" spans="3:13" x14ac:dyDescent="0.25">
      <c r="C651" s="557"/>
      <c r="D651" s="557"/>
      <c r="E651" s="557"/>
      <c r="F651" s="558"/>
      <c r="G651" s="558"/>
      <c r="H651" s="293"/>
      <c r="I651" s="559"/>
      <c r="J651" s="559"/>
      <c r="K651" s="559"/>
      <c r="L651" s="559"/>
      <c r="M651" s="558"/>
    </row>
    <row r="652" spans="3:13" x14ac:dyDescent="0.25">
      <c r="C652" s="557"/>
      <c r="D652" s="557"/>
      <c r="E652" s="557"/>
      <c r="F652" s="558"/>
      <c r="G652" s="558"/>
      <c r="H652" s="293"/>
      <c r="I652" s="559"/>
      <c r="J652" s="559"/>
      <c r="K652" s="559"/>
      <c r="L652" s="559"/>
      <c r="M652" s="558"/>
    </row>
    <row r="653" spans="3:13" x14ac:dyDescent="0.25">
      <c r="C653" s="557"/>
      <c r="D653" s="557"/>
      <c r="E653" s="557"/>
      <c r="F653" s="558"/>
      <c r="G653" s="558"/>
      <c r="H653" s="293"/>
      <c r="I653" s="559"/>
      <c r="J653" s="559"/>
      <c r="K653" s="559"/>
      <c r="L653" s="559"/>
      <c r="M653" s="558"/>
    </row>
    <row r="654" spans="3:13" x14ac:dyDescent="0.25">
      <c r="C654" s="557"/>
      <c r="D654" s="557"/>
      <c r="E654" s="557"/>
      <c r="F654" s="558"/>
      <c r="G654" s="558"/>
      <c r="H654" s="293"/>
      <c r="I654" s="559"/>
      <c r="J654" s="559"/>
      <c r="K654" s="559"/>
      <c r="L654" s="559"/>
      <c r="M654" s="558"/>
    </row>
    <row r="655" spans="3:13" x14ac:dyDescent="0.25">
      <c r="C655" s="557"/>
      <c r="D655" s="557"/>
      <c r="E655" s="557"/>
      <c r="F655" s="558"/>
      <c r="G655" s="558"/>
      <c r="H655" s="293"/>
      <c r="I655" s="559"/>
      <c r="J655" s="559"/>
      <c r="K655" s="559"/>
      <c r="L655" s="559"/>
      <c r="M655" s="558"/>
    </row>
    <row r="656" spans="3:13" x14ac:dyDescent="0.25">
      <c r="C656" s="557"/>
      <c r="D656" s="557"/>
      <c r="E656" s="557"/>
      <c r="F656" s="558"/>
      <c r="G656" s="558"/>
      <c r="H656" s="293"/>
      <c r="I656" s="559"/>
      <c r="J656" s="559"/>
      <c r="K656" s="559"/>
      <c r="L656" s="559"/>
      <c r="M656" s="558"/>
    </row>
    <row r="657" spans="3:13" x14ac:dyDescent="0.25">
      <c r="C657" s="557"/>
      <c r="D657" s="557"/>
      <c r="E657" s="557"/>
      <c r="F657" s="558"/>
      <c r="G657" s="558"/>
      <c r="H657" s="293"/>
      <c r="I657" s="559"/>
      <c r="J657" s="559"/>
      <c r="K657" s="559"/>
      <c r="L657" s="559"/>
      <c r="M657" s="558"/>
    </row>
    <row r="658" spans="3:13" x14ac:dyDescent="0.25">
      <c r="C658" s="557"/>
      <c r="D658" s="557"/>
      <c r="E658" s="557"/>
      <c r="F658" s="558"/>
      <c r="G658" s="558"/>
      <c r="H658" s="293"/>
      <c r="I658" s="559"/>
      <c r="J658" s="559"/>
      <c r="K658" s="559"/>
      <c r="L658" s="559"/>
      <c r="M658" s="558"/>
    </row>
    <row r="659" spans="3:13" x14ac:dyDescent="0.25">
      <c r="C659" s="557"/>
      <c r="D659" s="557"/>
      <c r="E659" s="557"/>
      <c r="F659" s="558"/>
      <c r="G659" s="558"/>
      <c r="H659" s="293"/>
      <c r="I659" s="559"/>
      <c r="J659" s="559"/>
      <c r="K659" s="559"/>
      <c r="L659" s="559"/>
      <c r="M659" s="558"/>
    </row>
    <row r="660" spans="3:13" x14ac:dyDescent="0.25">
      <c r="C660" s="557"/>
      <c r="D660" s="557"/>
      <c r="E660" s="557"/>
      <c r="F660" s="558"/>
      <c r="G660" s="558"/>
      <c r="H660" s="293"/>
      <c r="I660" s="559"/>
      <c r="J660" s="559"/>
      <c r="K660" s="559"/>
      <c r="L660" s="559"/>
      <c r="M660" s="558"/>
    </row>
    <row r="661" spans="3:13" x14ac:dyDescent="0.25">
      <c r="C661" s="557"/>
      <c r="D661" s="557"/>
      <c r="E661" s="557"/>
      <c r="F661" s="558"/>
      <c r="G661" s="558"/>
      <c r="H661" s="293"/>
      <c r="I661" s="559"/>
      <c r="J661" s="559"/>
      <c r="K661" s="559"/>
      <c r="L661" s="559"/>
      <c r="M661" s="558"/>
    </row>
    <row r="662" spans="3:13" x14ac:dyDescent="0.25">
      <c r="C662" s="557"/>
      <c r="D662" s="557"/>
      <c r="E662" s="557"/>
      <c r="F662" s="558"/>
      <c r="G662" s="558"/>
      <c r="H662" s="293"/>
      <c r="I662" s="559"/>
      <c r="J662" s="559"/>
      <c r="K662" s="559"/>
      <c r="L662" s="559"/>
      <c r="M662" s="558"/>
    </row>
    <row r="663" spans="3:13" x14ac:dyDescent="0.25">
      <c r="C663" s="557"/>
      <c r="D663" s="557"/>
      <c r="E663" s="557"/>
      <c r="F663" s="558"/>
      <c r="G663" s="558"/>
      <c r="H663" s="293"/>
      <c r="I663" s="559"/>
      <c r="J663" s="559"/>
      <c r="K663" s="559"/>
      <c r="L663" s="559"/>
      <c r="M663" s="558"/>
    </row>
    <row r="664" spans="3:13" x14ac:dyDescent="0.25">
      <c r="C664" s="557"/>
      <c r="D664" s="557"/>
      <c r="E664" s="557"/>
      <c r="F664" s="558"/>
      <c r="G664" s="558"/>
      <c r="H664" s="293"/>
      <c r="I664" s="559"/>
      <c r="J664" s="559"/>
      <c r="K664" s="559"/>
      <c r="L664" s="559"/>
      <c r="M664" s="558"/>
    </row>
    <row r="665" spans="3:13" x14ac:dyDescent="0.25">
      <c r="C665" s="557"/>
      <c r="D665" s="557"/>
      <c r="E665" s="557"/>
      <c r="F665" s="558"/>
      <c r="G665" s="558"/>
      <c r="H665" s="293"/>
      <c r="I665" s="559"/>
      <c r="J665" s="559"/>
      <c r="K665" s="559"/>
      <c r="L665" s="559"/>
      <c r="M665" s="558"/>
    </row>
    <row r="666" spans="3:13" x14ac:dyDescent="0.25">
      <c r="C666" s="557"/>
      <c r="D666" s="557"/>
      <c r="E666" s="557"/>
      <c r="F666" s="558"/>
      <c r="G666" s="558"/>
      <c r="H666" s="293"/>
      <c r="I666" s="559"/>
      <c r="J666" s="559"/>
      <c r="K666" s="559"/>
      <c r="L666" s="559"/>
      <c r="M666" s="558"/>
    </row>
    <row r="667" spans="3:13" x14ac:dyDescent="0.25">
      <c r="C667" s="557"/>
      <c r="D667" s="557"/>
      <c r="E667" s="557"/>
      <c r="F667" s="558"/>
      <c r="G667" s="558"/>
      <c r="H667" s="293"/>
      <c r="I667" s="559"/>
      <c r="J667" s="559"/>
      <c r="K667" s="559"/>
      <c r="L667" s="559"/>
      <c r="M667" s="558"/>
    </row>
    <row r="668" spans="3:13" x14ac:dyDescent="0.25">
      <c r="C668" s="557"/>
      <c r="D668" s="557"/>
      <c r="E668" s="557"/>
      <c r="F668" s="558"/>
      <c r="G668" s="558"/>
      <c r="H668" s="293"/>
      <c r="I668" s="559"/>
      <c r="J668" s="559"/>
      <c r="K668" s="559"/>
      <c r="L668" s="559"/>
      <c r="M668" s="558"/>
    </row>
    <row r="669" spans="3:13" x14ac:dyDescent="0.25">
      <c r="C669" s="557"/>
      <c r="D669" s="557"/>
      <c r="E669" s="557"/>
      <c r="F669" s="558"/>
      <c r="G669" s="558"/>
      <c r="H669" s="293"/>
      <c r="I669" s="559"/>
      <c r="J669" s="559"/>
      <c r="K669" s="559"/>
      <c r="L669" s="559"/>
      <c r="M669" s="558"/>
    </row>
    <row r="670" spans="3:13" x14ac:dyDescent="0.25">
      <c r="C670" s="557"/>
      <c r="D670" s="557"/>
      <c r="E670" s="557"/>
      <c r="F670" s="558"/>
      <c r="G670" s="558"/>
      <c r="H670" s="293"/>
      <c r="I670" s="559"/>
      <c r="J670" s="559"/>
      <c r="K670" s="559"/>
      <c r="L670" s="559"/>
      <c r="M670" s="558"/>
    </row>
    <row r="671" spans="3:13" x14ac:dyDescent="0.25">
      <c r="C671" s="557"/>
      <c r="D671" s="557"/>
      <c r="E671" s="557"/>
      <c r="F671" s="558"/>
      <c r="G671" s="558"/>
      <c r="H671" s="293"/>
      <c r="I671" s="559"/>
      <c r="J671" s="559"/>
      <c r="K671" s="559"/>
      <c r="L671" s="559"/>
      <c r="M671" s="558"/>
    </row>
    <row r="672" spans="3:13" x14ac:dyDescent="0.25">
      <c r="C672" s="557"/>
      <c r="D672" s="557"/>
      <c r="E672" s="557"/>
      <c r="F672" s="558"/>
      <c r="G672" s="558"/>
      <c r="H672" s="293"/>
      <c r="I672" s="559"/>
      <c r="J672" s="559"/>
      <c r="K672" s="559"/>
      <c r="L672" s="559"/>
      <c r="M672" s="558"/>
    </row>
    <row r="673" spans="3:13" x14ac:dyDescent="0.25">
      <c r="C673" s="557"/>
      <c r="D673" s="557"/>
      <c r="E673" s="557"/>
      <c r="F673" s="558"/>
      <c r="G673" s="558"/>
      <c r="H673" s="293"/>
      <c r="I673" s="559"/>
      <c r="J673" s="559"/>
      <c r="K673" s="559"/>
      <c r="L673" s="559"/>
      <c r="M673" s="558"/>
    </row>
    <row r="674" spans="3:13" x14ac:dyDescent="0.25">
      <c r="C674" s="557"/>
      <c r="D674" s="557"/>
      <c r="E674" s="557"/>
      <c r="F674" s="558"/>
      <c r="G674" s="558"/>
      <c r="H674" s="293"/>
      <c r="I674" s="559"/>
      <c r="J674" s="559"/>
      <c r="K674" s="559"/>
      <c r="L674" s="559"/>
      <c r="M674" s="558"/>
    </row>
    <row r="675" spans="3:13" x14ac:dyDescent="0.25">
      <c r="C675" s="557"/>
      <c r="D675" s="557"/>
      <c r="E675" s="557"/>
      <c r="F675" s="558"/>
      <c r="G675" s="558"/>
      <c r="H675" s="293"/>
      <c r="I675" s="559"/>
      <c r="J675" s="559"/>
      <c r="K675" s="559"/>
      <c r="L675" s="559"/>
      <c r="M675" s="558"/>
    </row>
    <row r="676" spans="3:13" x14ac:dyDescent="0.25">
      <c r="C676" s="557"/>
      <c r="D676" s="557"/>
      <c r="E676" s="557"/>
      <c r="F676" s="558"/>
      <c r="G676" s="558"/>
      <c r="H676" s="293"/>
      <c r="I676" s="559"/>
      <c r="J676" s="559"/>
      <c r="K676" s="559"/>
      <c r="L676" s="559"/>
      <c r="M676" s="558"/>
    </row>
    <row r="677" spans="3:13" x14ac:dyDescent="0.25">
      <c r="C677" s="557"/>
      <c r="D677" s="557"/>
      <c r="E677" s="557"/>
      <c r="F677" s="558"/>
      <c r="G677" s="558"/>
      <c r="H677" s="293"/>
      <c r="I677" s="559"/>
      <c r="J677" s="559"/>
      <c r="K677" s="559"/>
      <c r="L677" s="559"/>
      <c r="M677" s="558"/>
    </row>
    <row r="678" spans="3:13" x14ac:dyDescent="0.25">
      <c r="C678" s="557"/>
      <c r="D678" s="557"/>
      <c r="E678" s="557"/>
      <c r="F678" s="558"/>
      <c r="G678" s="558"/>
      <c r="H678" s="293"/>
      <c r="I678" s="559"/>
      <c r="J678" s="559"/>
      <c r="K678" s="559"/>
      <c r="L678" s="559"/>
      <c r="M678" s="558"/>
    </row>
    <row r="679" spans="3:13" x14ac:dyDescent="0.25">
      <c r="C679" s="557"/>
      <c r="D679" s="557"/>
      <c r="E679" s="557"/>
      <c r="F679" s="558"/>
      <c r="G679" s="558"/>
      <c r="H679" s="293"/>
      <c r="I679" s="559"/>
      <c r="J679" s="559"/>
      <c r="K679" s="559"/>
      <c r="L679" s="559"/>
      <c r="M679" s="558"/>
    </row>
    <row r="680" spans="3:13" x14ac:dyDescent="0.25">
      <c r="C680" s="557"/>
      <c r="D680" s="557"/>
      <c r="E680" s="557"/>
      <c r="F680" s="558"/>
      <c r="G680" s="558"/>
      <c r="H680" s="293"/>
      <c r="I680" s="559"/>
      <c r="J680" s="559"/>
      <c r="K680" s="559"/>
      <c r="L680" s="559"/>
      <c r="M680" s="558"/>
    </row>
    <row r="681" spans="3:13" x14ac:dyDescent="0.25">
      <c r="C681" s="557"/>
      <c r="D681" s="557"/>
      <c r="E681" s="557"/>
      <c r="F681" s="558"/>
      <c r="G681" s="558"/>
      <c r="H681" s="293"/>
      <c r="I681" s="559"/>
      <c r="J681" s="559"/>
      <c r="K681" s="559"/>
      <c r="L681" s="559"/>
      <c r="M681" s="558"/>
    </row>
    <row r="682" spans="3:13" x14ac:dyDescent="0.25">
      <c r="C682" s="557"/>
      <c r="D682" s="557"/>
      <c r="E682" s="557"/>
      <c r="F682" s="558"/>
      <c r="G682" s="558"/>
      <c r="H682" s="293"/>
      <c r="I682" s="559"/>
      <c r="J682" s="559"/>
      <c r="K682" s="559"/>
      <c r="L682" s="559"/>
      <c r="M682" s="558"/>
    </row>
    <row r="683" spans="3:13" x14ac:dyDescent="0.25">
      <c r="C683" s="557"/>
      <c r="D683" s="557"/>
      <c r="E683" s="557"/>
      <c r="F683" s="558"/>
      <c r="G683" s="558"/>
      <c r="H683" s="293"/>
      <c r="I683" s="559"/>
      <c r="J683" s="559"/>
      <c r="K683" s="559"/>
      <c r="L683" s="559"/>
      <c r="M683" s="558"/>
    </row>
    <row r="684" spans="3:13" x14ac:dyDescent="0.25">
      <c r="C684" s="557"/>
      <c r="D684" s="557"/>
      <c r="E684" s="557"/>
      <c r="F684" s="558"/>
      <c r="G684" s="558"/>
      <c r="H684" s="293"/>
      <c r="I684" s="559"/>
      <c r="J684" s="559"/>
      <c r="K684" s="559"/>
      <c r="L684" s="559"/>
      <c r="M684" s="558"/>
    </row>
    <row r="685" spans="3:13" x14ac:dyDescent="0.25">
      <c r="C685" s="557"/>
      <c r="D685" s="557"/>
      <c r="E685" s="557"/>
      <c r="F685" s="558"/>
      <c r="G685" s="558"/>
      <c r="H685" s="293"/>
      <c r="I685" s="559"/>
      <c r="J685" s="559"/>
      <c r="K685" s="559"/>
      <c r="L685" s="559"/>
      <c r="M685" s="558"/>
    </row>
    <row r="686" spans="3:13" x14ac:dyDescent="0.25">
      <c r="C686" s="557"/>
      <c r="D686" s="557"/>
      <c r="E686" s="557"/>
      <c r="F686" s="558"/>
      <c r="G686" s="558"/>
      <c r="H686" s="293"/>
      <c r="I686" s="559"/>
      <c r="J686" s="559"/>
      <c r="K686" s="559"/>
      <c r="L686" s="559"/>
      <c r="M686" s="558"/>
    </row>
    <row r="687" spans="3:13" x14ac:dyDescent="0.25">
      <c r="C687" s="557"/>
      <c r="D687" s="557"/>
      <c r="E687" s="557"/>
      <c r="F687" s="558"/>
      <c r="G687" s="558"/>
      <c r="H687" s="293"/>
      <c r="I687" s="559"/>
      <c r="J687" s="559"/>
      <c r="K687" s="559"/>
      <c r="L687" s="559"/>
      <c r="M687" s="558"/>
    </row>
    <row r="688" spans="3:13" x14ac:dyDescent="0.25">
      <c r="C688" s="557"/>
      <c r="D688" s="557"/>
      <c r="E688" s="557"/>
      <c r="F688" s="558"/>
      <c r="G688" s="558"/>
      <c r="H688" s="293"/>
      <c r="I688" s="559"/>
      <c r="J688" s="559"/>
      <c r="K688" s="559"/>
      <c r="L688" s="559"/>
      <c r="M688" s="558"/>
    </row>
    <row r="689" spans="3:13" x14ac:dyDescent="0.25">
      <c r="C689" s="557"/>
      <c r="D689" s="557"/>
      <c r="E689" s="557"/>
      <c r="F689" s="558"/>
      <c r="G689" s="558"/>
      <c r="H689" s="293"/>
      <c r="I689" s="559"/>
      <c r="J689" s="559"/>
      <c r="K689" s="559"/>
      <c r="L689" s="559"/>
      <c r="M689" s="558"/>
    </row>
    <row r="690" spans="3:13" x14ac:dyDescent="0.25">
      <c r="C690" s="557"/>
      <c r="D690" s="557"/>
      <c r="E690" s="557"/>
      <c r="F690" s="558"/>
      <c r="G690" s="558"/>
      <c r="H690" s="293"/>
      <c r="I690" s="559"/>
      <c r="J690" s="559"/>
      <c r="K690" s="559"/>
      <c r="L690" s="559"/>
      <c r="M690" s="558"/>
    </row>
    <row r="691" spans="3:13" x14ac:dyDescent="0.25">
      <c r="C691" s="557"/>
      <c r="D691" s="557"/>
      <c r="E691" s="557"/>
      <c r="F691" s="558"/>
      <c r="G691" s="558"/>
      <c r="H691" s="293"/>
      <c r="I691" s="559"/>
      <c r="J691" s="559"/>
      <c r="K691" s="559"/>
      <c r="L691" s="559"/>
      <c r="M691" s="558"/>
    </row>
    <row r="692" spans="3:13" x14ac:dyDescent="0.25">
      <c r="C692" s="557"/>
      <c r="D692" s="557"/>
      <c r="E692" s="557"/>
      <c r="F692" s="558"/>
      <c r="G692" s="558"/>
      <c r="H692" s="293"/>
      <c r="I692" s="559"/>
      <c r="J692" s="559"/>
      <c r="K692" s="559"/>
      <c r="L692" s="559"/>
      <c r="M692" s="558"/>
    </row>
    <row r="693" spans="3:13" x14ac:dyDescent="0.25">
      <c r="C693" s="557"/>
      <c r="D693" s="557"/>
      <c r="E693" s="557"/>
      <c r="F693" s="558"/>
      <c r="G693" s="558"/>
      <c r="H693" s="293"/>
      <c r="I693" s="559"/>
      <c r="J693" s="559"/>
      <c r="K693" s="559"/>
      <c r="L693" s="559"/>
      <c r="M693" s="558"/>
    </row>
    <row r="694" spans="3:13" x14ac:dyDescent="0.25">
      <c r="C694" s="557"/>
      <c r="D694" s="557"/>
      <c r="E694" s="557"/>
      <c r="F694" s="558"/>
      <c r="G694" s="558"/>
      <c r="H694" s="293"/>
      <c r="I694" s="559"/>
      <c r="J694" s="559"/>
      <c r="K694" s="559"/>
      <c r="L694" s="559"/>
      <c r="M694" s="558"/>
    </row>
    <row r="695" spans="3:13" x14ac:dyDescent="0.25">
      <c r="C695" s="557"/>
      <c r="D695" s="557"/>
      <c r="E695" s="557"/>
      <c r="F695" s="558"/>
      <c r="G695" s="558"/>
      <c r="H695" s="293"/>
      <c r="I695" s="559"/>
      <c r="J695" s="559"/>
      <c r="K695" s="559"/>
      <c r="L695" s="559"/>
      <c r="M695" s="558"/>
    </row>
    <row r="696" spans="3:13" x14ac:dyDescent="0.25">
      <c r="C696" s="557"/>
      <c r="D696" s="557"/>
      <c r="E696" s="557"/>
      <c r="F696" s="558"/>
      <c r="G696" s="558"/>
      <c r="H696" s="293"/>
      <c r="I696" s="559"/>
      <c r="J696" s="559"/>
      <c r="K696" s="559"/>
      <c r="L696" s="559"/>
      <c r="M696" s="558"/>
    </row>
    <row r="697" spans="3:13" x14ac:dyDescent="0.25">
      <c r="C697" s="557"/>
      <c r="D697" s="557"/>
      <c r="E697" s="557"/>
      <c r="F697" s="558"/>
      <c r="G697" s="558"/>
      <c r="H697" s="293"/>
      <c r="I697" s="559"/>
      <c r="J697" s="559"/>
      <c r="K697" s="559"/>
      <c r="L697" s="559"/>
      <c r="M697" s="558"/>
    </row>
    <row r="698" spans="3:13" x14ac:dyDescent="0.25">
      <c r="C698" s="557"/>
      <c r="D698" s="557"/>
      <c r="E698" s="557"/>
      <c r="F698" s="558"/>
      <c r="G698" s="558"/>
      <c r="H698" s="293"/>
      <c r="I698" s="559"/>
      <c r="J698" s="559"/>
      <c r="K698" s="559"/>
      <c r="L698" s="559"/>
      <c r="M698" s="558"/>
    </row>
    <row r="699" spans="3:13" x14ac:dyDescent="0.25">
      <c r="C699" s="557"/>
      <c r="D699" s="557"/>
      <c r="E699" s="557"/>
      <c r="F699" s="558"/>
      <c r="G699" s="558"/>
      <c r="H699" s="293"/>
      <c r="I699" s="559"/>
      <c r="J699" s="559"/>
      <c r="K699" s="559"/>
      <c r="L699" s="559"/>
      <c r="M699" s="558"/>
    </row>
    <row r="700" spans="3:13" x14ac:dyDescent="0.25">
      <c r="C700" s="557"/>
      <c r="D700" s="557"/>
      <c r="E700" s="557"/>
      <c r="F700" s="558"/>
      <c r="G700" s="558"/>
      <c r="H700" s="293"/>
      <c r="I700" s="559"/>
      <c r="J700" s="559"/>
      <c r="K700" s="559"/>
      <c r="L700" s="559"/>
      <c r="M700" s="558"/>
    </row>
    <row r="701" spans="3:13" x14ac:dyDescent="0.25">
      <c r="C701" s="557"/>
      <c r="D701" s="557"/>
      <c r="E701" s="557"/>
      <c r="F701" s="558"/>
      <c r="G701" s="558"/>
      <c r="H701" s="293"/>
      <c r="I701" s="559"/>
      <c r="J701" s="559"/>
      <c r="K701" s="559"/>
      <c r="L701" s="559"/>
      <c r="M701" s="558"/>
    </row>
    <row r="702" spans="3:13" x14ac:dyDescent="0.25">
      <c r="C702" s="557"/>
      <c r="D702" s="557"/>
      <c r="E702" s="557"/>
      <c r="F702" s="558"/>
      <c r="G702" s="558"/>
      <c r="H702" s="293"/>
      <c r="I702" s="559"/>
      <c r="J702" s="559"/>
      <c r="K702" s="559"/>
      <c r="L702" s="559"/>
      <c r="M702" s="558"/>
    </row>
    <row r="703" spans="3:13" x14ac:dyDescent="0.25">
      <c r="C703" s="557"/>
      <c r="D703" s="557"/>
      <c r="E703" s="557"/>
      <c r="F703" s="558"/>
      <c r="G703" s="558"/>
      <c r="H703" s="293"/>
      <c r="I703" s="559"/>
      <c r="J703" s="559"/>
      <c r="K703" s="559"/>
      <c r="L703" s="559"/>
      <c r="M703" s="558"/>
    </row>
    <row r="704" spans="3:13" x14ac:dyDescent="0.25">
      <c r="C704" s="557"/>
      <c r="D704" s="557"/>
      <c r="E704" s="557"/>
      <c r="F704" s="558"/>
      <c r="G704" s="558"/>
      <c r="H704" s="293"/>
      <c r="I704" s="559"/>
      <c r="J704" s="559"/>
      <c r="K704" s="559"/>
      <c r="L704" s="559"/>
      <c r="M704" s="558"/>
    </row>
    <row r="705" spans="3:13" x14ac:dyDescent="0.25">
      <c r="C705" s="557"/>
      <c r="D705" s="557"/>
      <c r="E705" s="557"/>
      <c r="F705" s="558"/>
      <c r="G705" s="558"/>
      <c r="H705" s="293"/>
      <c r="I705" s="559"/>
      <c r="J705" s="559"/>
      <c r="K705" s="559"/>
      <c r="L705" s="559"/>
      <c r="M705" s="558"/>
    </row>
    <row r="706" spans="3:13" x14ac:dyDescent="0.25">
      <c r="C706" s="557"/>
      <c r="D706" s="557"/>
      <c r="E706" s="557"/>
      <c r="F706" s="558"/>
      <c r="G706" s="558"/>
      <c r="H706" s="293"/>
      <c r="I706" s="559"/>
      <c r="J706" s="559"/>
      <c r="K706" s="559"/>
      <c r="L706" s="559"/>
      <c r="M706" s="558"/>
    </row>
    <row r="707" spans="3:13" x14ac:dyDescent="0.25">
      <c r="C707" s="557"/>
      <c r="D707" s="557"/>
      <c r="E707" s="557"/>
      <c r="F707" s="558"/>
      <c r="G707" s="558"/>
      <c r="H707" s="293"/>
      <c r="I707" s="559"/>
      <c r="J707" s="559"/>
      <c r="K707" s="559"/>
      <c r="L707" s="559"/>
      <c r="M707" s="558"/>
    </row>
    <row r="708" spans="3:13" x14ac:dyDescent="0.25">
      <c r="C708" s="557"/>
      <c r="D708" s="557"/>
      <c r="E708" s="557"/>
      <c r="F708" s="558"/>
      <c r="G708" s="558"/>
      <c r="H708" s="293"/>
      <c r="I708" s="559"/>
      <c r="J708" s="559"/>
      <c r="K708" s="559"/>
      <c r="L708" s="559"/>
      <c r="M708" s="558"/>
    </row>
    <row r="709" spans="3:13" x14ac:dyDescent="0.25">
      <c r="C709" s="557"/>
      <c r="D709" s="557"/>
      <c r="E709" s="557"/>
      <c r="F709" s="558"/>
      <c r="G709" s="558"/>
      <c r="H709" s="293"/>
      <c r="I709" s="559"/>
      <c r="J709" s="559"/>
      <c r="K709" s="559"/>
      <c r="L709" s="559"/>
      <c r="M709" s="558"/>
    </row>
    <row r="710" spans="3:13" x14ac:dyDescent="0.25">
      <c r="C710" s="557"/>
      <c r="D710" s="557"/>
      <c r="E710" s="557"/>
      <c r="F710" s="558"/>
      <c r="G710" s="558"/>
      <c r="H710" s="293"/>
      <c r="I710" s="559"/>
      <c r="J710" s="559"/>
      <c r="K710" s="559"/>
      <c r="L710" s="559"/>
      <c r="M710" s="558"/>
    </row>
    <row r="711" spans="3:13" x14ac:dyDescent="0.25">
      <c r="C711" s="557"/>
      <c r="D711" s="557"/>
      <c r="E711" s="557"/>
      <c r="F711" s="558"/>
      <c r="G711" s="558"/>
      <c r="H711" s="293"/>
      <c r="I711" s="559"/>
      <c r="J711" s="559"/>
      <c r="K711" s="559"/>
      <c r="L711" s="559"/>
      <c r="M711" s="558"/>
    </row>
    <row r="712" spans="3:13" x14ac:dyDescent="0.25">
      <c r="C712" s="557"/>
      <c r="D712" s="557"/>
      <c r="E712" s="557"/>
      <c r="F712" s="558"/>
      <c r="G712" s="558"/>
      <c r="H712" s="293"/>
      <c r="I712" s="559"/>
      <c r="J712" s="559"/>
      <c r="K712" s="559"/>
      <c r="L712" s="559"/>
      <c r="M712" s="558"/>
    </row>
    <row r="713" spans="3:13" x14ac:dyDescent="0.25">
      <c r="C713" s="557"/>
      <c r="D713" s="557"/>
      <c r="E713" s="557"/>
      <c r="F713" s="558"/>
      <c r="G713" s="558"/>
      <c r="H713" s="293"/>
      <c r="I713" s="559"/>
      <c r="J713" s="559"/>
      <c r="K713" s="559"/>
      <c r="L713" s="559"/>
      <c r="M713" s="558"/>
    </row>
    <row r="714" spans="3:13" x14ac:dyDescent="0.25">
      <c r="C714" s="557"/>
      <c r="D714" s="557"/>
      <c r="E714" s="557"/>
      <c r="F714" s="558"/>
      <c r="G714" s="558"/>
      <c r="H714" s="293"/>
      <c r="I714" s="559"/>
      <c r="J714" s="559"/>
      <c r="K714" s="559"/>
      <c r="L714" s="559"/>
      <c r="M714" s="558"/>
    </row>
    <row r="715" spans="3:13" x14ac:dyDescent="0.25">
      <c r="C715" s="557"/>
      <c r="D715" s="557"/>
      <c r="E715" s="557"/>
      <c r="F715" s="558"/>
      <c r="G715" s="558"/>
      <c r="H715" s="293"/>
      <c r="I715" s="559"/>
      <c r="J715" s="559"/>
      <c r="K715" s="559"/>
      <c r="L715" s="559"/>
      <c r="M715" s="558"/>
    </row>
    <row r="716" spans="3:13" x14ac:dyDescent="0.25">
      <c r="C716" s="557"/>
      <c r="D716" s="557"/>
      <c r="E716" s="557"/>
      <c r="F716" s="558"/>
      <c r="G716" s="558"/>
      <c r="H716" s="293"/>
      <c r="I716" s="559"/>
      <c r="J716" s="559"/>
      <c r="K716" s="559"/>
      <c r="L716" s="559"/>
      <c r="M716" s="558"/>
    </row>
    <row r="717" spans="3:13" x14ac:dyDescent="0.25">
      <c r="C717" s="557"/>
      <c r="D717" s="557"/>
      <c r="E717" s="557"/>
      <c r="F717" s="558"/>
      <c r="G717" s="558"/>
      <c r="H717" s="293"/>
      <c r="I717" s="559"/>
      <c r="J717" s="559"/>
      <c r="K717" s="559"/>
      <c r="L717" s="559"/>
      <c r="M717" s="558"/>
    </row>
    <row r="718" spans="3:13" x14ac:dyDescent="0.25">
      <c r="C718" s="557"/>
      <c r="D718" s="557"/>
      <c r="E718" s="557"/>
      <c r="F718" s="558"/>
      <c r="G718" s="558"/>
      <c r="H718" s="293"/>
      <c r="I718" s="559"/>
      <c r="J718" s="559"/>
      <c r="K718" s="559"/>
      <c r="L718" s="559"/>
      <c r="M718" s="558"/>
    </row>
    <row r="719" spans="3:13" x14ac:dyDescent="0.25">
      <c r="C719" s="557"/>
      <c r="D719" s="557"/>
      <c r="E719" s="557"/>
      <c r="F719" s="558"/>
      <c r="G719" s="558"/>
      <c r="H719" s="293"/>
      <c r="I719" s="559"/>
      <c r="J719" s="559"/>
      <c r="K719" s="559"/>
      <c r="L719" s="559"/>
      <c r="M719" s="558"/>
    </row>
    <row r="720" spans="3:13" x14ac:dyDescent="0.25">
      <c r="C720" s="557"/>
      <c r="D720" s="557"/>
      <c r="E720" s="557"/>
      <c r="F720" s="558"/>
      <c r="G720" s="558"/>
      <c r="H720" s="293"/>
      <c r="I720" s="559"/>
      <c r="J720" s="559"/>
      <c r="K720" s="559"/>
      <c r="L720" s="559"/>
      <c r="M720" s="558"/>
    </row>
    <row r="721" spans="3:13" x14ac:dyDescent="0.25">
      <c r="C721" s="557"/>
      <c r="D721" s="557"/>
      <c r="E721" s="557"/>
      <c r="F721" s="558"/>
      <c r="G721" s="558"/>
      <c r="H721" s="293"/>
      <c r="I721" s="559"/>
      <c r="J721" s="559"/>
      <c r="K721" s="559"/>
      <c r="L721" s="559"/>
      <c r="M721" s="558"/>
    </row>
    <row r="722" spans="3:13" x14ac:dyDescent="0.25">
      <c r="C722" s="557"/>
      <c r="D722" s="557"/>
      <c r="E722" s="557"/>
      <c r="F722" s="558"/>
      <c r="G722" s="558"/>
      <c r="H722" s="293"/>
      <c r="I722" s="559"/>
      <c r="J722" s="559"/>
      <c r="K722" s="559"/>
      <c r="L722" s="559"/>
      <c r="M722" s="558"/>
    </row>
    <row r="723" spans="3:13" x14ac:dyDescent="0.25">
      <c r="C723" s="557"/>
      <c r="D723" s="557"/>
      <c r="E723" s="557"/>
      <c r="F723" s="558"/>
      <c r="G723" s="558"/>
      <c r="H723" s="293"/>
      <c r="I723" s="559"/>
      <c r="J723" s="559"/>
      <c r="K723" s="559"/>
      <c r="L723" s="559"/>
      <c r="M723" s="558"/>
    </row>
    <row r="724" spans="3:13" x14ac:dyDescent="0.25">
      <c r="C724" s="557"/>
      <c r="D724" s="557"/>
      <c r="E724" s="557"/>
      <c r="F724" s="558"/>
      <c r="G724" s="558"/>
      <c r="H724" s="293"/>
      <c r="I724" s="559"/>
      <c r="J724" s="559"/>
      <c r="K724" s="559"/>
      <c r="L724" s="559"/>
      <c r="M724" s="558"/>
    </row>
    <row r="725" spans="3:13" x14ac:dyDescent="0.25">
      <c r="C725" s="557"/>
      <c r="D725" s="557"/>
      <c r="E725" s="557"/>
      <c r="F725" s="558"/>
      <c r="G725" s="558"/>
      <c r="H725" s="293"/>
      <c r="I725" s="559"/>
      <c r="J725" s="559"/>
      <c r="K725" s="559"/>
      <c r="L725" s="559"/>
      <c r="M725" s="558"/>
    </row>
    <row r="726" spans="3:13" x14ac:dyDescent="0.25">
      <c r="C726" s="557"/>
      <c r="D726" s="557"/>
      <c r="E726" s="557"/>
      <c r="F726" s="558"/>
      <c r="G726" s="558"/>
      <c r="H726" s="293"/>
      <c r="I726" s="559"/>
      <c r="J726" s="559"/>
      <c r="K726" s="559"/>
      <c r="L726" s="559"/>
      <c r="M726" s="558"/>
    </row>
    <row r="727" spans="3:13" x14ac:dyDescent="0.25">
      <c r="C727" s="557"/>
      <c r="D727" s="557"/>
      <c r="E727" s="557"/>
      <c r="F727" s="558"/>
      <c r="G727" s="558"/>
      <c r="H727" s="293"/>
      <c r="I727" s="559"/>
      <c r="J727" s="559"/>
      <c r="K727" s="559"/>
      <c r="L727" s="559"/>
      <c r="M727" s="558"/>
    </row>
    <row r="728" spans="3:13" x14ac:dyDescent="0.25">
      <c r="C728" s="557"/>
      <c r="D728" s="557"/>
      <c r="E728" s="557"/>
      <c r="F728" s="558"/>
      <c r="G728" s="558"/>
      <c r="H728" s="293"/>
      <c r="I728" s="559"/>
      <c r="J728" s="559"/>
      <c r="K728" s="559"/>
      <c r="L728" s="559"/>
      <c r="M728" s="558"/>
    </row>
    <row r="729" spans="3:13" x14ac:dyDescent="0.25">
      <c r="C729" s="557"/>
      <c r="D729" s="557"/>
      <c r="E729" s="557"/>
      <c r="F729" s="558"/>
      <c r="G729" s="558"/>
      <c r="H729" s="293"/>
      <c r="I729" s="559"/>
      <c r="J729" s="559"/>
      <c r="K729" s="559"/>
      <c r="L729" s="559"/>
      <c r="M729" s="558"/>
    </row>
    <row r="730" spans="3:13" x14ac:dyDescent="0.25">
      <c r="C730" s="557"/>
      <c r="D730" s="557"/>
      <c r="E730" s="557"/>
      <c r="F730" s="558"/>
      <c r="G730" s="558"/>
      <c r="H730" s="293"/>
      <c r="I730" s="559"/>
      <c r="J730" s="559"/>
      <c r="K730" s="559"/>
      <c r="L730" s="559"/>
      <c r="M730" s="558"/>
    </row>
    <row r="731" spans="3:13" x14ac:dyDescent="0.25">
      <c r="C731" s="557"/>
      <c r="D731" s="557"/>
      <c r="E731" s="557"/>
      <c r="F731" s="558"/>
      <c r="G731" s="558"/>
      <c r="H731" s="293"/>
      <c r="I731" s="559"/>
      <c r="J731" s="559"/>
      <c r="K731" s="559"/>
      <c r="L731" s="559"/>
      <c r="M731" s="558"/>
    </row>
    <row r="732" spans="3:13" x14ac:dyDescent="0.25">
      <c r="C732" s="557"/>
      <c r="D732" s="557"/>
      <c r="E732" s="557"/>
      <c r="F732" s="558"/>
      <c r="G732" s="558"/>
      <c r="H732" s="293"/>
      <c r="I732" s="559"/>
      <c r="J732" s="559"/>
      <c r="K732" s="559"/>
      <c r="L732" s="559"/>
      <c r="M732" s="558"/>
    </row>
    <row r="733" spans="3:13" x14ac:dyDescent="0.25">
      <c r="C733" s="557"/>
      <c r="D733" s="557"/>
      <c r="E733" s="557"/>
      <c r="F733" s="558"/>
      <c r="G733" s="558"/>
      <c r="H733" s="293"/>
      <c r="I733" s="559"/>
      <c r="J733" s="559"/>
      <c r="K733" s="559"/>
      <c r="L733" s="559"/>
      <c r="M733" s="558"/>
    </row>
    <row r="734" spans="3:13" x14ac:dyDescent="0.25">
      <c r="C734" s="557"/>
      <c r="D734" s="557"/>
      <c r="E734" s="557"/>
      <c r="F734" s="558"/>
      <c r="G734" s="558"/>
      <c r="H734" s="293"/>
      <c r="I734" s="559"/>
      <c r="J734" s="559"/>
      <c r="K734" s="559"/>
      <c r="L734" s="559"/>
      <c r="M734" s="558"/>
    </row>
    <row r="735" spans="3:13" x14ac:dyDescent="0.25">
      <c r="C735" s="557"/>
      <c r="D735" s="557"/>
      <c r="E735" s="557"/>
      <c r="F735" s="558"/>
      <c r="G735" s="558"/>
      <c r="H735" s="293"/>
      <c r="I735" s="559"/>
      <c r="J735" s="559"/>
      <c r="K735" s="559"/>
      <c r="L735" s="559"/>
      <c r="M735" s="558"/>
    </row>
    <row r="736" spans="3:13" x14ac:dyDescent="0.25">
      <c r="C736" s="557"/>
      <c r="D736" s="557"/>
      <c r="E736" s="557"/>
      <c r="F736" s="558"/>
      <c r="G736" s="558"/>
      <c r="H736" s="293"/>
      <c r="I736" s="559"/>
      <c r="J736" s="559"/>
      <c r="K736" s="559"/>
      <c r="L736" s="559"/>
      <c r="M736" s="558"/>
    </row>
    <row r="737" spans="3:13" x14ac:dyDescent="0.25">
      <c r="C737" s="557"/>
      <c r="D737" s="557"/>
      <c r="E737" s="557"/>
      <c r="F737" s="558"/>
      <c r="G737" s="558"/>
      <c r="H737" s="293"/>
      <c r="I737" s="559"/>
      <c r="J737" s="559"/>
      <c r="K737" s="559"/>
      <c r="L737" s="559"/>
      <c r="M737" s="558"/>
    </row>
    <row r="738" spans="3:13" x14ac:dyDescent="0.25">
      <c r="C738" s="557"/>
      <c r="D738" s="557"/>
      <c r="E738" s="557"/>
      <c r="F738" s="558"/>
      <c r="G738" s="558"/>
      <c r="H738" s="293"/>
      <c r="I738" s="559"/>
      <c r="J738" s="559"/>
      <c r="K738" s="559"/>
      <c r="L738" s="559"/>
      <c r="M738" s="558"/>
    </row>
    <row r="739" spans="3:13" x14ac:dyDescent="0.25">
      <c r="C739" s="557"/>
      <c r="D739" s="557"/>
      <c r="E739" s="557"/>
      <c r="F739" s="558"/>
      <c r="G739" s="558"/>
      <c r="H739" s="293"/>
      <c r="I739" s="559"/>
      <c r="J739" s="559"/>
      <c r="K739" s="559"/>
      <c r="L739" s="559"/>
      <c r="M739" s="558"/>
    </row>
    <row r="740" spans="3:13" x14ac:dyDescent="0.25">
      <c r="C740" s="557"/>
      <c r="D740" s="557"/>
      <c r="E740" s="557"/>
      <c r="F740" s="558"/>
      <c r="G740" s="558"/>
      <c r="H740" s="293"/>
      <c r="I740" s="559"/>
      <c r="J740" s="559"/>
      <c r="K740" s="559"/>
      <c r="L740" s="559"/>
      <c r="M740" s="558"/>
    </row>
    <row r="741" spans="3:13" x14ac:dyDescent="0.25">
      <c r="C741" s="557"/>
      <c r="D741" s="557"/>
      <c r="E741" s="557"/>
      <c r="F741" s="558"/>
      <c r="G741" s="558"/>
      <c r="H741" s="293"/>
      <c r="I741" s="559"/>
      <c r="J741" s="559"/>
      <c r="K741" s="559"/>
      <c r="L741" s="559"/>
      <c r="M741" s="558"/>
    </row>
    <row r="742" spans="3:13" x14ac:dyDescent="0.25">
      <c r="C742" s="557"/>
      <c r="D742" s="557"/>
      <c r="E742" s="557"/>
      <c r="F742" s="558"/>
      <c r="G742" s="558"/>
      <c r="H742" s="293"/>
      <c r="I742" s="559"/>
      <c r="J742" s="559"/>
      <c r="K742" s="559"/>
      <c r="L742" s="559"/>
      <c r="M742" s="558"/>
    </row>
    <row r="743" spans="3:13" x14ac:dyDescent="0.25">
      <c r="C743" s="557"/>
      <c r="D743" s="557"/>
      <c r="E743" s="557"/>
      <c r="F743" s="558"/>
      <c r="G743" s="558"/>
      <c r="H743" s="293"/>
      <c r="I743" s="559"/>
      <c r="J743" s="559"/>
      <c r="K743" s="559"/>
      <c r="L743" s="559"/>
      <c r="M743" s="558"/>
    </row>
    <row r="744" spans="3:13" x14ac:dyDescent="0.25">
      <c r="C744" s="557"/>
      <c r="D744" s="557"/>
      <c r="E744" s="557"/>
      <c r="F744" s="558"/>
      <c r="G744" s="558"/>
      <c r="H744" s="293"/>
      <c r="I744" s="559"/>
      <c r="J744" s="559"/>
      <c r="K744" s="559"/>
      <c r="L744" s="559"/>
      <c r="M744" s="558"/>
    </row>
    <row r="745" spans="3:13" x14ac:dyDescent="0.25">
      <c r="C745" s="557"/>
      <c r="D745" s="557"/>
      <c r="E745" s="557"/>
      <c r="F745" s="558"/>
      <c r="G745" s="558"/>
      <c r="H745" s="293"/>
      <c r="I745" s="559"/>
      <c r="J745" s="559"/>
      <c r="K745" s="559"/>
      <c r="L745" s="559"/>
      <c r="M745" s="558"/>
    </row>
    <row r="746" spans="3:13" x14ac:dyDescent="0.25">
      <c r="C746" s="557"/>
      <c r="D746" s="557"/>
      <c r="E746" s="557"/>
      <c r="F746" s="558"/>
      <c r="G746" s="558"/>
      <c r="H746" s="293"/>
      <c r="I746" s="559"/>
      <c r="J746" s="559"/>
      <c r="K746" s="559"/>
      <c r="L746" s="559"/>
      <c r="M746" s="558"/>
    </row>
    <row r="747" spans="3:13" x14ac:dyDescent="0.25">
      <c r="C747" s="557"/>
      <c r="D747" s="557"/>
      <c r="E747" s="557"/>
      <c r="F747" s="558"/>
      <c r="G747" s="558"/>
      <c r="H747" s="293"/>
      <c r="I747" s="559"/>
      <c r="J747" s="559"/>
      <c r="K747" s="559"/>
      <c r="L747" s="559"/>
      <c r="M747" s="558"/>
    </row>
    <row r="748" spans="3:13" x14ac:dyDescent="0.25">
      <c r="C748" s="557"/>
      <c r="D748" s="557"/>
      <c r="E748" s="557"/>
      <c r="F748" s="558"/>
      <c r="G748" s="558"/>
      <c r="H748" s="293"/>
      <c r="I748" s="559"/>
      <c r="J748" s="559"/>
      <c r="K748" s="559"/>
      <c r="L748" s="559"/>
      <c r="M748" s="558"/>
    </row>
    <row r="749" spans="3:13" x14ac:dyDescent="0.25">
      <c r="C749" s="557"/>
      <c r="D749" s="557"/>
      <c r="E749" s="557"/>
      <c r="F749" s="558"/>
      <c r="G749" s="558"/>
      <c r="H749" s="293"/>
      <c r="I749" s="559"/>
      <c r="J749" s="559"/>
      <c r="K749" s="559"/>
      <c r="L749" s="559"/>
      <c r="M749" s="558"/>
    </row>
    <row r="750" spans="3:13" x14ac:dyDescent="0.25">
      <c r="C750" s="557"/>
      <c r="D750" s="557"/>
      <c r="E750" s="557"/>
      <c r="F750" s="558"/>
      <c r="G750" s="558"/>
      <c r="H750" s="293"/>
      <c r="I750" s="559"/>
      <c r="J750" s="559"/>
      <c r="K750" s="559"/>
      <c r="L750" s="559"/>
      <c r="M750" s="558"/>
    </row>
    <row r="751" spans="3:13" x14ac:dyDescent="0.25">
      <c r="C751" s="557"/>
      <c r="D751" s="557"/>
      <c r="E751" s="557"/>
      <c r="F751" s="558"/>
      <c r="G751" s="558"/>
      <c r="H751" s="293"/>
      <c r="I751" s="559"/>
      <c r="J751" s="559"/>
      <c r="K751" s="559"/>
      <c r="L751" s="559"/>
      <c r="M751" s="559"/>
    </row>
    <row r="752" spans="3:13" x14ac:dyDescent="0.25">
      <c r="C752" s="557"/>
      <c r="D752" s="557"/>
      <c r="E752" s="557"/>
      <c r="F752" s="558"/>
      <c r="G752" s="558"/>
      <c r="H752" s="293"/>
      <c r="I752" s="559"/>
      <c r="J752" s="559"/>
      <c r="K752" s="559"/>
      <c r="L752" s="559"/>
      <c r="M752" s="559"/>
    </row>
    <row r="753" spans="3:13" x14ac:dyDescent="0.25">
      <c r="C753" s="557"/>
      <c r="D753" s="557"/>
      <c r="E753" s="557"/>
      <c r="F753" s="558"/>
      <c r="G753" s="558"/>
      <c r="H753" s="293"/>
      <c r="I753" s="559"/>
      <c r="J753" s="559"/>
      <c r="K753" s="559"/>
      <c r="L753" s="559"/>
      <c r="M753" s="559"/>
    </row>
    <row r="754" spans="3:13" x14ac:dyDescent="0.25">
      <c r="C754" s="557"/>
      <c r="D754" s="557"/>
      <c r="E754" s="557"/>
      <c r="F754" s="558"/>
      <c r="G754" s="558"/>
      <c r="H754" s="293"/>
      <c r="I754" s="559"/>
      <c r="J754" s="559"/>
      <c r="K754" s="559"/>
      <c r="L754" s="559"/>
      <c r="M754" s="559"/>
    </row>
    <row r="755" spans="3:13" x14ac:dyDescent="0.25">
      <c r="C755" s="557"/>
      <c r="D755" s="557"/>
      <c r="E755" s="557"/>
      <c r="F755" s="558"/>
      <c r="G755" s="558"/>
      <c r="H755" s="293"/>
      <c r="I755" s="559"/>
      <c r="J755" s="559"/>
      <c r="K755" s="559"/>
      <c r="L755" s="559"/>
      <c r="M755" s="559"/>
    </row>
    <row r="756" spans="3:13" x14ac:dyDescent="0.25">
      <c r="C756" s="557"/>
      <c r="D756" s="557"/>
      <c r="E756" s="557"/>
      <c r="F756" s="558"/>
      <c r="G756" s="558"/>
      <c r="H756" s="293"/>
      <c r="I756" s="559"/>
      <c r="J756" s="559"/>
      <c r="K756" s="559"/>
      <c r="L756" s="559"/>
      <c r="M756" s="559"/>
    </row>
    <row r="757" spans="3:13" x14ac:dyDescent="0.25">
      <c r="C757" s="557"/>
      <c r="D757" s="557"/>
      <c r="E757" s="557"/>
      <c r="F757" s="558"/>
      <c r="G757" s="558"/>
      <c r="H757" s="293"/>
      <c r="I757" s="559"/>
      <c r="J757" s="559"/>
      <c r="K757" s="559"/>
      <c r="L757" s="559"/>
      <c r="M757" s="559"/>
    </row>
    <row r="758" spans="3:13" x14ac:dyDescent="0.25">
      <c r="C758" s="557"/>
      <c r="D758" s="557"/>
      <c r="E758" s="557"/>
      <c r="F758" s="558"/>
      <c r="G758" s="558"/>
      <c r="H758" s="293"/>
      <c r="I758" s="559"/>
      <c r="J758" s="559"/>
      <c r="K758" s="559"/>
      <c r="L758" s="559"/>
      <c r="M758" s="559"/>
    </row>
    <row r="759" spans="3:13" x14ac:dyDescent="0.25">
      <c r="C759" s="557"/>
      <c r="D759" s="557"/>
      <c r="E759" s="557"/>
      <c r="F759" s="558"/>
      <c r="G759" s="558"/>
      <c r="H759" s="293"/>
      <c r="I759" s="559"/>
      <c r="J759" s="559"/>
      <c r="K759" s="559"/>
      <c r="L759" s="559"/>
      <c r="M759" s="559"/>
    </row>
    <row r="760" spans="3:13" x14ac:dyDescent="0.25">
      <c r="C760" s="557"/>
      <c r="D760" s="557"/>
      <c r="E760" s="557"/>
      <c r="F760" s="558"/>
      <c r="G760" s="558"/>
      <c r="H760" s="293"/>
      <c r="I760" s="559"/>
      <c r="J760" s="559"/>
      <c r="K760" s="559"/>
      <c r="L760" s="559"/>
      <c r="M760" s="559"/>
    </row>
    <row r="761" spans="3:13" x14ac:dyDescent="0.25">
      <c r="C761" s="557"/>
      <c r="D761" s="557"/>
      <c r="E761" s="557"/>
      <c r="F761" s="558"/>
      <c r="G761" s="558"/>
      <c r="H761" s="293"/>
      <c r="I761" s="559"/>
      <c r="J761" s="559"/>
      <c r="K761" s="559"/>
      <c r="L761" s="559"/>
      <c r="M761" s="559"/>
    </row>
    <row r="762" spans="3:13" x14ac:dyDescent="0.25">
      <c r="C762" s="557"/>
      <c r="D762" s="557"/>
      <c r="E762" s="557"/>
      <c r="F762" s="558"/>
      <c r="G762" s="558"/>
      <c r="H762" s="293"/>
      <c r="I762" s="559"/>
      <c r="J762" s="559"/>
      <c r="K762" s="559"/>
      <c r="L762" s="559"/>
      <c r="M762" s="559"/>
    </row>
    <row r="763" spans="3:13" x14ac:dyDescent="0.25">
      <c r="C763" s="557"/>
      <c r="D763" s="557"/>
      <c r="E763" s="557"/>
      <c r="F763" s="558"/>
      <c r="G763" s="558"/>
      <c r="H763" s="293"/>
      <c r="I763" s="559"/>
      <c r="J763" s="559"/>
      <c r="K763" s="559"/>
      <c r="L763" s="559"/>
      <c r="M763" s="559"/>
    </row>
    <row r="764" spans="3:13" x14ac:dyDescent="0.25">
      <c r="C764" s="557"/>
      <c r="D764" s="557"/>
      <c r="E764" s="557"/>
      <c r="F764" s="558"/>
      <c r="G764" s="558"/>
      <c r="H764" s="293"/>
      <c r="I764" s="559"/>
      <c r="J764" s="559"/>
      <c r="K764" s="559"/>
      <c r="L764" s="559"/>
      <c r="M764" s="559"/>
    </row>
    <row r="765" spans="3:13" x14ac:dyDescent="0.25">
      <c r="C765" s="557"/>
      <c r="D765" s="557"/>
      <c r="E765" s="557"/>
      <c r="F765" s="558"/>
      <c r="G765" s="558"/>
      <c r="H765" s="293"/>
      <c r="I765" s="559"/>
      <c r="J765" s="559"/>
      <c r="K765" s="559"/>
      <c r="L765" s="559"/>
      <c r="M765" s="559"/>
    </row>
    <row r="766" spans="3:13" x14ac:dyDescent="0.25">
      <c r="C766" s="557"/>
      <c r="D766" s="557"/>
      <c r="E766" s="557"/>
      <c r="F766" s="558"/>
      <c r="G766" s="558"/>
      <c r="H766" s="293"/>
      <c r="I766" s="559"/>
      <c r="J766" s="559"/>
      <c r="K766" s="559"/>
      <c r="L766" s="559"/>
      <c r="M766" s="559"/>
    </row>
    <row r="767" spans="3:13" x14ac:dyDescent="0.25">
      <c r="C767" s="557"/>
      <c r="D767" s="557"/>
      <c r="E767" s="557"/>
      <c r="F767" s="558"/>
      <c r="G767" s="558"/>
      <c r="H767" s="293"/>
      <c r="I767" s="559"/>
      <c r="J767" s="559"/>
      <c r="K767" s="559"/>
      <c r="L767" s="559"/>
      <c r="M767" s="559"/>
    </row>
    <row r="768" spans="3:13" x14ac:dyDescent="0.25">
      <c r="C768" s="557"/>
      <c r="D768" s="557"/>
      <c r="E768" s="557"/>
      <c r="F768" s="558"/>
      <c r="G768" s="558"/>
      <c r="H768" s="293"/>
      <c r="I768" s="559"/>
      <c r="J768" s="559"/>
      <c r="K768" s="559"/>
      <c r="L768" s="559"/>
      <c r="M768" s="559"/>
    </row>
    <row r="769" spans="3:13" x14ac:dyDescent="0.25">
      <c r="C769" s="557"/>
      <c r="D769" s="557"/>
      <c r="E769" s="557"/>
      <c r="F769" s="558"/>
      <c r="G769" s="558"/>
      <c r="H769" s="293"/>
      <c r="I769" s="559"/>
      <c r="J769" s="559"/>
      <c r="K769" s="559"/>
      <c r="L769" s="559"/>
      <c r="M769" s="559"/>
    </row>
    <row r="770" spans="3:13" x14ac:dyDescent="0.25">
      <c r="C770" s="557"/>
      <c r="D770" s="557"/>
      <c r="E770" s="557"/>
      <c r="F770" s="558"/>
      <c r="G770" s="558"/>
      <c r="H770" s="293"/>
      <c r="I770" s="559"/>
      <c r="J770" s="559"/>
      <c r="K770" s="559"/>
      <c r="L770" s="559"/>
      <c r="M770" s="559"/>
    </row>
    <row r="771" spans="3:13" x14ac:dyDescent="0.25">
      <c r="C771" s="557"/>
      <c r="D771" s="557"/>
      <c r="E771" s="557"/>
      <c r="F771" s="558"/>
      <c r="G771" s="558"/>
      <c r="H771" s="293"/>
      <c r="I771" s="559"/>
      <c r="J771" s="559"/>
      <c r="K771" s="559"/>
      <c r="L771" s="559"/>
      <c r="M771" s="559"/>
    </row>
    <row r="772" spans="3:13" x14ac:dyDescent="0.25">
      <c r="C772" s="557"/>
      <c r="D772" s="557"/>
      <c r="E772" s="557"/>
      <c r="F772" s="558"/>
      <c r="G772" s="558"/>
      <c r="H772" s="293"/>
      <c r="I772" s="559"/>
      <c r="J772" s="559"/>
      <c r="K772" s="559"/>
      <c r="L772" s="559"/>
      <c r="M772" s="559"/>
    </row>
    <row r="773" spans="3:13" x14ac:dyDescent="0.25">
      <c r="C773" s="557"/>
      <c r="D773" s="557"/>
      <c r="E773" s="557"/>
      <c r="F773" s="558"/>
      <c r="G773" s="558"/>
      <c r="H773" s="293"/>
      <c r="I773" s="559"/>
      <c r="J773" s="559"/>
      <c r="K773" s="559"/>
      <c r="L773" s="559"/>
      <c r="M773" s="559"/>
    </row>
    <row r="774" spans="3:13" x14ac:dyDescent="0.25">
      <c r="C774" s="557"/>
      <c r="D774" s="557"/>
      <c r="E774" s="557"/>
      <c r="F774" s="558"/>
      <c r="G774" s="558"/>
      <c r="H774" s="293"/>
      <c r="I774" s="559"/>
      <c r="J774" s="559"/>
      <c r="K774" s="559"/>
      <c r="L774" s="559"/>
      <c r="M774" s="559"/>
    </row>
    <row r="775" spans="3:13" x14ac:dyDescent="0.25">
      <c r="C775" s="557"/>
      <c r="D775" s="557"/>
      <c r="E775" s="557"/>
      <c r="F775" s="558"/>
      <c r="G775" s="558"/>
      <c r="H775" s="293"/>
      <c r="I775" s="559"/>
      <c r="J775" s="559"/>
      <c r="K775" s="559"/>
      <c r="L775" s="559"/>
      <c r="M775" s="559"/>
    </row>
    <row r="776" spans="3:13" x14ac:dyDescent="0.25">
      <c r="C776" s="557"/>
      <c r="D776" s="557"/>
      <c r="E776" s="557"/>
      <c r="F776" s="558"/>
      <c r="G776" s="558"/>
      <c r="H776" s="293"/>
      <c r="I776" s="559"/>
      <c r="J776" s="559"/>
      <c r="K776" s="559"/>
      <c r="L776" s="559"/>
      <c r="M776" s="559"/>
    </row>
    <row r="777" spans="3:13" x14ac:dyDescent="0.25">
      <c r="C777" s="557"/>
      <c r="D777" s="557"/>
      <c r="E777" s="557"/>
      <c r="F777" s="558"/>
      <c r="G777" s="558"/>
      <c r="H777" s="293"/>
      <c r="I777" s="559"/>
      <c r="J777" s="559"/>
      <c r="K777" s="559"/>
      <c r="L777" s="559"/>
      <c r="M777" s="559"/>
    </row>
    <row r="778" spans="3:13" x14ac:dyDescent="0.25">
      <c r="C778" s="557"/>
      <c r="D778" s="557"/>
      <c r="E778" s="557"/>
      <c r="F778" s="558"/>
      <c r="G778" s="558"/>
      <c r="H778" s="293"/>
      <c r="I778" s="559"/>
      <c r="J778" s="559"/>
      <c r="K778" s="559"/>
      <c r="L778" s="559"/>
      <c r="M778" s="559"/>
    </row>
    <row r="779" spans="3:13" x14ac:dyDescent="0.25">
      <c r="C779" s="557"/>
      <c r="D779" s="557"/>
      <c r="E779" s="557"/>
      <c r="F779" s="558"/>
      <c r="G779" s="558"/>
      <c r="H779" s="293"/>
      <c r="I779" s="559"/>
      <c r="J779" s="559"/>
      <c r="K779" s="559"/>
      <c r="L779" s="559"/>
      <c r="M779" s="559"/>
    </row>
    <row r="780" spans="3:13" x14ac:dyDescent="0.25">
      <c r="C780" s="557"/>
      <c r="D780" s="557"/>
      <c r="E780" s="557"/>
      <c r="F780" s="558"/>
      <c r="G780" s="558"/>
      <c r="H780" s="293"/>
      <c r="I780" s="559"/>
      <c r="J780" s="559"/>
      <c r="K780" s="559"/>
      <c r="L780" s="559"/>
      <c r="M780" s="559"/>
    </row>
    <row r="781" spans="3:13" x14ac:dyDescent="0.25">
      <c r="C781" s="557"/>
      <c r="D781" s="557"/>
      <c r="E781" s="557"/>
      <c r="F781" s="558"/>
      <c r="G781" s="558"/>
      <c r="H781" s="293"/>
      <c r="I781" s="559"/>
      <c r="J781" s="559"/>
      <c r="K781" s="559"/>
      <c r="L781" s="559"/>
      <c r="M781" s="559"/>
    </row>
    <row r="782" spans="3:13" x14ac:dyDescent="0.25">
      <c r="C782" s="557"/>
      <c r="D782" s="557"/>
      <c r="E782" s="557"/>
      <c r="F782" s="558"/>
      <c r="G782" s="558"/>
      <c r="H782" s="293"/>
      <c r="I782" s="559"/>
      <c r="J782" s="559"/>
      <c r="K782" s="559"/>
      <c r="L782" s="559"/>
      <c r="M782" s="559"/>
    </row>
    <row r="783" spans="3:13" x14ac:dyDescent="0.25">
      <c r="C783" s="557"/>
      <c r="D783" s="557"/>
      <c r="E783" s="557"/>
      <c r="F783" s="558"/>
      <c r="G783" s="558"/>
      <c r="H783" s="293"/>
      <c r="I783" s="559"/>
      <c r="J783" s="559"/>
      <c r="K783" s="559"/>
      <c r="L783" s="559"/>
      <c r="M783" s="559"/>
    </row>
    <row r="784" spans="3:13" x14ac:dyDescent="0.25">
      <c r="C784" s="557"/>
      <c r="D784" s="557"/>
      <c r="E784" s="557"/>
      <c r="F784" s="558"/>
      <c r="G784" s="558"/>
      <c r="H784" s="293"/>
      <c r="I784" s="559"/>
      <c r="J784" s="559"/>
      <c r="K784" s="559"/>
      <c r="L784" s="559"/>
      <c r="M784" s="559"/>
    </row>
    <row r="785" spans="3:13" x14ac:dyDescent="0.25">
      <c r="C785" s="557"/>
      <c r="D785" s="557"/>
      <c r="E785" s="557"/>
      <c r="F785" s="558"/>
      <c r="G785" s="558"/>
      <c r="H785" s="293"/>
      <c r="I785" s="559"/>
      <c r="J785" s="559"/>
      <c r="K785" s="559"/>
      <c r="L785" s="559"/>
      <c r="M785" s="559"/>
    </row>
    <row r="786" spans="3:13" x14ac:dyDescent="0.25">
      <c r="C786" s="557"/>
      <c r="D786" s="557"/>
      <c r="E786" s="557"/>
      <c r="F786" s="558"/>
      <c r="G786" s="558"/>
      <c r="H786" s="293"/>
      <c r="I786" s="559"/>
      <c r="J786" s="559"/>
      <c r="K786" s="559"/>
      <c r="L786" s="559"/>
      <c r="M786" s="559"/>
    </row>
    <row r="787" spans="3:13" x14ac:dyDescent="0.25">
      <c r="C787" s="557"/>
      <c r="D787" s="557"/>
      <c r="E787" s="557"/>
      <c r="F787" s="558"/>
      <c r="G787" s="558"/>
      <c r="H787" s="293"/>
      <c r="I787" s="559"/>
      <c r="J787" s="559"/>
      <c r="K787" s="559"/>
      <c r="L787" s="559"/>
      <c r="M787" s="559"/>
    </row>
    <row r="788" spans="3:13" x14ac:dyDescent="0.25">
      <c r="C788" s="557"/>
      <c r="D788" s="557"/>
      <c r="E788" s="557"/>
      <c r="F788" s="558"/>
      <c r="G788" s="558"/>
      <c r="H788" s="293"/>
      <c r="I788" s="559"/>
      <c r="J788" s="559"/>
      <c r="K788" s="559"/>
      <c r="L788" s="559"/>
      <c r="M788" s="559"/>
    </row>
    <row r="789" spans="3:13" x14ac:dyDescent="0.25">
      <c r="C789" s="557"/>
      <c r="D789" s="557"/>
      <c r="E789" s="557"/>
      <c r="F789" s="558"/>
      <c r="G789" s="558"/>
      <c r="H789" s="293"/>
      <c r="I789" s="559"/>
      <c r="J789" s="559"/>
      <c r="K789" s="559"/>
      <c r="L789" s="559"/>
      <c r="M789" s="559"/>
    </row>
    <row r="790" spans="3:13" x14ac:dyDescent="0.25">
      <c r="C790" s="557"/>
      <c r="D790" s="557"/>
      <c r="E790" s="557"/>
      <c r="F790" s="558"/>
      <c r="G790" s="558"/>
      <c r="H790" s="293"/>
      <c r="I790" s="559"/>
      <c r="J790" s="559"/>
      <c r="K790" s="559"/>
      <c r="L790" s="559"/>
      <c r="M790" s="559"/>
    </row>
    <row r="791" spans="3:13" x14ac:dyDescent="0.25">
      <c r="C791" s="557"/>
      <c r="D791" s="557"/>
      <c r="E791" s="557"/>
      <c r="F791" s="558"/>
      <c r="G791" s="558"/>
      <c r="H791" s="293"/>
      <c r="I791" s="559"/>
      <c r="J791" s="559"/>
      <c r="K791" s="559"/>
      <c r="L791" s="559"/>
      <c r="M791" s="559"/>
    </row>
    <row r="792" spans="3:13" x14ac:dyDescent="0.25">
      <c r="C792" s="557"/>
      <c r="D792" s="557"/>
      <c r="E792" s="557"/>
      <c r="F792" s="558"/>
      <c r="G792" s="558"/>
      <c r="H792" s="293"/>
      <c r="I792" s="559"/>
      <c r="J792" s="559"/>
      <c r="K792" s="559"/>
      <c r="L792" s="559"/>
      <c r="M792" s="559"/>
    </row>
    <row r="793" spans="3:13" x14ac:dyDescent="0.25">
      <c r="C793" s="557"/>
      <c r="D793" s="557"/>
      <c r="E793" s="557"/>
      <c r="F793" s="558"/>
      <c r="G793" s="558"/>
      <c r="H793" s="293"/>
      <c r="I793" s="559"/>
      <c r="J793" s="559"/>
      <c r="K793" s="559"/>
      <c r="L793" s="559"/>
      <c r="M793" s="559"/>
    </row>
    <row r="794" spans="3:13" x14ac:dyDescent="0.25">
      <c r="C794" s="557"/>
      <c r="D794" s="557"/>
      <c r="E794" s="557"/>
      <c r="F794" s="558"/>
      <c r="G794" s="558"/>
      <c r="H794" s="293"/>
      <c r="I794" s="559"/>
      <c r="J794" s="559"/>
      <c r="K794" s="559"/>
      <c r="L794" s="559"/>
      <c r="M794" s="559"/>
    </row>
    <row r="795" spans="3:13" x14ac:dyDescent="0.25">
      <c r="C795" s="557"/>
      <c r="D795" s="557"/>
      <c r="E795" s="557"/>
      <c r="F795" s="558"/>
      <c r="G795" s="558"/>
      <c r="H795" s="293"/>
      <c r="I795" s="559"/>
      <c r="J795" s="559"/>
      <c r="K795" s="559"/>
      <c r="L795" s="559"/>
      <c r="M795" s="559"/>
    </row>
    <row r="796" spans="3:13" x14ac:dyDescent="0.25">
      <c r="C796" s="557"/>
      <c r="D796" s="557"/>
      <c r="E796" s="557"/>
      <c r="F796" s="558"/>
      <c r="G796" s="558"/>
      <c r="H796" s="293"/>
      <c r="I796" s="559"/>
      <c r="J796" s="559"/>
      <c r="K796" s="559"/>
      <c r="L796" s="559"/>
      <c r="M796" s="559"/>
    </row>
    <row r="797" spans="3:13" x14ac:dyDescent="0.25">
      <c r="C797" s="557"/>
      <c r="D797" s="557"/>
      <c r="E797" s="557"/>
      <c r="F797" s="558"/>
      <c r="G797" s="558"/>
      <c r="H797" s="293"/>
      <c r="I797" s="559"/>
      <c r="J797" s="559"/>
      <c r="K797" s="559"/>
      <c r="L797" s="559"/>
      <c r="M797" s="559"/>
    </row>
    <row r="798" spans="3:13" x14ac:dyDescent="0.25">
      <c r="C798" s="557"/>
      <c r="D798" s="557"/>
      <c r="E798" s="557"/>
      <c r="F798" s="558"/>
      <c r="G798" s="558"/>
      <c r="H798" s="293"/>
      <c r="I798" s="559"/>
      <c r="J798" s="559"/>
      <c r="K798" s="559"/>
      <c r="L798" s="559"/>
      <c r="M798" s="559"/>
    </row>
    <row r="799" spans="3:13" x14ac:dyDescent="0.25">
      <c r="C799" s="557"/>
      <c r="D799" s="557"/>
      <c r="E799" s="557"/>
      <c r="F799" s="558"/>
      <c r="G799" s="558"/>
      <c r="H799" s="293"/>
      <c r="I799" s="559"/>
      <c r="J799" s="559"/>
      <c r="K799" s="559"/>
      <c r="L799" s="559"/>
      <c r="M799" s="559"/>
    </row>
    <row r="800" spans="3:13" x14ac:dyDescent="0.25">
      <c r="C800" s="557"/>
      <c r="D800" s="557"/>
      <c r="E800" s="557"/>
      <c r="F800" s="558"/>
      <c r="G800" s="558"/>
      <c r="H800" s="293"/>
      <c r="I800" s="559"/>
      <c r="J800" s="559"/>
      <c r="K800" s="559"/>
      <c r="L800" s="559"/>
      <c r="M800" s="559"/>
    </row>
    <row r="801" spans="3:13" x14ac:dyDescent="0.25">
      <c r="C801" s="557"/>
      <c r="D801" s="557"/>
      <c r="E801" s="557"/>
      <c r="F801" s="558"/>
      <c r="G801" s="558"/>
      <c r="H801" s="293"/>
      <c r="I801" s="559"/>
      <c r="J801" s="559"/>
      <c r="K801" s="559"/>
      <c r="L801" s="559"/>
      <c r="M801" s="559"/>
    </row>
    <row r="802" spans="3:13" x14ac:dyDescent="0.25">
      <c r="C802" s="557"/>
      <c r="D802" s="557"/>
      <c r="E802" s="557"/>
      <c r="F802" s="558"/>
      <c r="G802" s="558"/>
      <c r="H802" s="293"/>
      <c r="I802" s="559"/>
      <c r="J802" s="559"/>
      <c r="K802" s="559"/>
      <c r="L802" s="559"/>
      <c r="M802" s="559"/>
    </row>
    <row r="803" spans="3:13" x14ac:dyDescent="0.25">
      <c r="C803" s="557"/>
      <c r="D803" s="557"/>
      <c r="E803" s="557"/>
      <c r="F803" s="558"/>
      <c r="G803" s="558"/>
      <c r="H803" s="293"/>
      <c r="I803" s="559"/>
      <c r="J803" s="559"/>
      <c r="K803" s="559"/>
      <c r="L803" s="559"/>
      <c r="M803" s="559"/>
    </row>
    <row r="804" spans="3:13" x14ac:dyDescent="0.25">
      <c r="C804" s="557"/>
      <c r="D804" s="557"/>
      <c r="E804" s="557"/>
      <c r="F804" s="558"/>
      <c r="G804" s="558"/>
      <c r="H804" s="293"/>
      <c r="I804" s="559"/>
      <c r="J804" s="559"/>
      <c r="K804" s="559"/>
      <c r="L804" s="559"/>
      <c r="M804" s="559"/>
    </row>
    <row r="805" spans="3:13" x14ac:dyDescent="0.25">
      <c r="C805" s="557"/>
      <c r="D805" s="557"/>
      <c r="E805" s="557"/>
      <c r="F805" s="558"/>
      <c r="G805" s="558"/>
      <c r="H805" s="293"/>
      <c r="I805" s="559"/>
      <c r="J805" s="559"/>
      <c r="K805" s="559"/>
      <c r="L805" s="559"/>
      <c r="M805" s="559"/>
    </row>
    <row r="806" spans="3:13" x14ac:dyDescent="0.25">
      <c r="C806" s="557"/>
      <c r="D806" s="557"/>
      <c r="E806" s="557"/>
      <c r="F806" s="558"/>
      <c r="G806" s="558"/>
      <c r="H806" s="293"/>
      <c r="I806" s="559"/>
      <c r="J806" s="559"/>
      <c r="K806" s="559"/>
      <c r="L806" s="559"/>
      <c r="M806" s="559"/>
    </row>
    <row r="807" spans="3:13" x14ac:dyDescent="0.25">
      <c r="C807" s="557"/>
      <c r="D807" s="557"/>
      <c r="E807" s="557"/>
      <c r="F807" s="558"/>
      <c r="G807" s="558"/>
      <c r="H807" s="293"/>
      <c r="I807" s="559"/>
      <c r="J807" s="559"/>
      <c r="K807" s="559"/>
      <c r="L807" s="559"/>
      <c r="M807" s="559"/>
    </row>
    <row r="808" spans="3:13" x14ac:dyDescent="0.25">
      <c r="C808" s="557"/>
      <c r="D808" s="557"/>
      <c r="E808" s="557"/>
      <c r="F808" s="558"/>
      <c r="G808" s="558"/>
      <c r="H808" s="293"/>
      <c r="I808" s="559"/>
      <c r="J808" s="559"/>
      <c r="K808" s="559"/>
      <c r="L808" s="559"/>
      <c r="M808" s="559"/>
    </row>
    <row r="809" spans="3:13" x14ac:dyDescent="0.25">
      <c r="C809" s="557"/>
      <c r="D809" s="557"/>
      <c r="E809" s="557"/>
      <c r="F809" s="558"/>
      <c r="G809" s="558"/>
      <c r="H809" s="293"/>
      <c r="I809" s="559"/>
      <c r="J809" s="559"/>
      <c r="K809" s="559"/>
      <c r="L809" s="559"/>
      <c r="M809" s="559"/>
    </row>
    <row r="810" spans="3:13" x14ac:dyDescent="0.25">
      <c r="C810" s="557"/>
      <c r="D810" s="557"/>
      <c r="E810" s="557"/>
      <c r="F810" s="558"/>
      <c r="G810" s="558"/>
      <c r="H810" s="293"/>
      <c r="I810" s="559"/>
      <c r="J810" s="559"/>
      <c r="K810" s="559"/>
      <c r="L810" s="559"/>
      <c r="M810" s="559"/>
    </row>
    <row r="811" spans="3:13" x14ac:dyDescent="0.25">
      <c r="C811" s="557"/>
      <c r="D811" s="557"/>
      <c r="E811" s="557"/>
      <c r="F811" s="558"/>
      <c r="G811" s="558"/>
      <c r="H811" s="293"/>
      <c r="I811" s="559"/>
      <c r="J811" s="559"/>
      <c r="K811" s="559"/>
      <c r="L811" s="559"/>
      <c r="M811" s="559"/>
    </row>
    <row r="812" spans="3:13" x14ac:dyDescent="0.25">
      <c r="C812" s="557"/>
      <c r="D812" s="557"/>
      <c r="E812" s="557"/>
      <c r="F812" s="558"/>
      <c r="G812" s="558"/>
      <c r="H812" s="293"/>
      <c r="I812" s="559"/>
      <c r="J812" s="559"/>
      <c r="K812" s="559"/>
      <c r="L812" s="559"/>
      <c r="M812" s="559"/>
    </row>
    <row r="813" spans="3:13" x14ac:dyDescent="0.25">
      <c r="C813" s="557"/>
      <c r="D813" s="557"/>
      <c r="E813" s="557"/>
      <c r="F813" s="558"/>
      <c r="G813" s="558"/>
      <c r="H813" s="293"/>
      <c r="I813" s="559"/>
      <c r="J813" s="559"/>
      <c r="K813" s="559"/>
      <c r="L813" s="559"/>
      <c r="M813" s="559"/>
    </row>
    <row r="814" spans="3:13" x14ac:dyDescent="0.25">
      <c r="C814" s="557"/>
      <c r="D814" s="557"/>
      <c r="E814" s="557"/>
      <c r="F814" s="558"/>
      <c r="G814" s="558"/>
      <c r="H814" s="293"/>
      <c r="I814" s="559"/>
      <c r="J814" s="559"/>
      <c r="K814" s="559"/>
      <c r="L814" s="559"/>
      <c r="M814" s="559"/>
    </row>
    <row r="815" spans="3:13" x14ac:dyDescent="0.25">
      <c r="C815" s="557"/>
      <c r="D815" s="557"/>
      <c r="E815" s="557"/>
      <c r="F815" s="558"/>
      <c r="G815" s="558"/>
      <c r="H815" s="293"/>
      <c r="I815" s="559"/>
      <c r="J815" s="559"/>
      <c r="K815" s="559"/>
      <c r="L815" s="559"/>
      <c r="M815" s="559"/>
    </row>
    <row r="816" spans="3:13" x14ac:dyDescent="0.25">
      <c r="C816" s="557"/>
      <c r="D816" s="557"/>
      <c r="E816" s="557"/>
      <c r="F816" s="558"/>
      <c r="G816" s="558"/>
      <c r="H816" s="293"/>
      <c r="I816" s="559"/>
      <c r="J816" s="559"/>
      <c r="K816" s="559"/>
      <c r="L816" s="559"/>
      <c r="M816" s="559"/>
    </row>
    <row r="817" spans="3:13" x14ac:dyDescent="0.25">
      <c r="C817" s="557"/>
      <c r="D817" s="557"/>
      <c r="E817" s="557"/>
      <c r="F817" s="558"/>
      <c r="G817" s="558"/>
      <c r="H817" s="293"/>
      <c r="I817" s="559"/>
      <c r="J817" s="559"/>
      <c r="K817" s="559"/>
      <c r="L817" s="559"/>
      <c r="M817" s="559"/>
    </row>
    <row r="818" spans="3:13" x14ac:dyDescent="0.25">
      <c r="C818" s="557"/>
      <c r="D818" s="557"/>
      <c r="E818" s="557"/>
      <c r="F818" s="558"/>
      <c r="G818" s="558"/>
      <c r="H818" s="293"/>
      <c r="I818" s="559"/>
      <c r="J818" s="559"/>
      <c r="K818" s="559"/>
      <c r="L818" s="559"/>
      <c r="M818" s="559"/>
    </row>
    <row r="819" spans="3:13" x14ac:dyDescent="0.25">
      <c r="C819" s="557"/>
      <c r="D819" s="557"/>
      <c r="E819" s="557"/>
      <c r="F819" s="558"/>
      <c r="G819" s="558"/>
      <c r="H819" s="293"/>
      <c r="I819" s="559"/>
      <c r="J819" s="559"/>
      <c r="K819" s="559"/>
      <c r="L819" s="559"/>
      <c r="M819" s="559"/>
    </row>
    <row r="820" spans="3:13" x14ac:dyDescent="0.25">
      <c r="C820" s="557"/>
      <c r="D820" s="557"/>
      <c r="E820" s="557"/>
      <c r="F820" s="558"/>
      <c r="G820" s="558"/>
      <c r="H820" s="293"/>
      <c r="I820" s="559"/>
      <c r="J820" s="559"/>
      <c r="K820" s="559"/>
      <c r="L820" s="559"/>
      <c r="M820" s="559"/>
    </row>
    <row r="821" spans="3:13" x14ac:dyDescent="0.25">
      <c r="C821" s="557"/>
      <c r="D821" s="557"/>
      <c r="E821" s="557"/>
      <c r="F821" s="558"/>
      <c r="G821" s="558"/>
      <c r="H821" s="293"/>
      <c r="I821" s="559"/>
      <c r="J821" s="559"/>
      <c r="K821" s="559"/>
      <c r="L821" s="559"/>
      <c r="M821" s="559"/>
    </row>
    <row r="822" spans="3:13" x14ac:dyDescent="0.25">
      <c r="C822" s="557"/>
      <c r="D822" s="557"/>
      <c r="E822" s="557"/>
      <c r="F822" s="558"/>
      <c r="G822" s="558"/>
      <c r="H822" s="293"/>
      <c r="I822" s="559"/>
      <c r="J822" s="559"/>
      <c r="K822" s="559"/>
      <c r="L822" s="559"/>
      <c r="M822" s="559"/>
    </row>
    <row r="823" spans="3:13" x14ac:dyDescent="0.25">
      <c r="C823" s="557"/>
      <c r="D823" s="557"/>
      <c r="E823" s="557"/>
      <c r="F823" s="558"/>
      <c r="G823" s="558"/>
      <c r="H823" s="293"/>
      <c r="I823" s="559"/>
      <c r="J823" s="559"/>
      <c r="K823" s="559"/>
      <c r="L823" s="559"/>
      <c r="M823" s="559"/>
    </row>
    <row r="824" spans="3:13" x14ac:dyDescent="0.25">
      <c r="C824" s="557"/>
      <c r="D824" s="557"/>
      <c r="E824" s="557"/>
      <c r="F824" s="558"/>
      <c r="G824" s="558"/>
      <c r="H824" s="293"/>
      <c r="I824" s="559"/>
      <c r="J824" s="559"/>
      <c r="K824" s="559"/>
      <c r="L824" s="559"/>
      <c r="M824" s="559"/>
    </row>
    <row r="825" spans="3:13" x14ac:dyDescent="0.25">
      <c r="C825" s="557"/>
      <c r="D825" s="557"/>
      <c r="E825" s="557"/>
      <c r="F825" s="558"/>
      <c r="G825" s="558"/>
      <c r="H825" s="293"/>
      <c r="I825" s="559"/>
      <c r="J825" s="559"/>
      <c r="K825" s="559"/>
      <c r="L825" s="559"/>
      <c r="M825" s="559"/>
    </row>
    <row r="826" spans="3:13" x14ac:dyDescent="0.25">
      <c r="C826" s="557"/>
      <c r="D826" s="557"/>
      <c r="E826" s="557"/>
      <c r="F826" s="558"/>
      <c r="G826" s="558"/>
      <c r="H826" s="293"/>
      <c r="I826" s="559"/>
      <c r="J826" s="559"/>
      <c r="K826" s="559"/>
      <c r="L826" s="559"/>
      <c r="M826" s="559"/>
    </row>
    <row r="827" spans="3:13" x14ac:dyDescent="0.25">
      <c r="C827" s="557"/>
      <c r="D827" s="557"/>
      <c r="E827" s="557"/>
      <c r="F827" s="558"/>
      <c r="G827" s="558"/>
      <c r="H827" s="293"/>
      <c r="I827" s="559"/>
      <c r="J827" s="559"/>
      <c r="K827" s="559"/>
      <c r="L827" s="559"/>
      <c r="M827" s="559"/>
    </row>
    <row r="828" spans="3:13" x14ac:dyDescent="0.25">
      <c r="C828" s="557"/>
      <c r="D828" s="557"/>
      <c r="E828" s="557"/>
      <c r="F828" s="558"/>
      <c r="G828" s="558"/>
      <c r="H828" s="293"/>
      <c r="I828" s="559"/>
      <c r="J828" s="559"/>
      <c r="K828" s="559"/>
      <c r="L828" s="559"/>
      <c r="M828" s="559"/>
    </row>
    <row r="829" spans="3:13" x14ac:dyDescent="0.25">
      <c r="C829" s="557"/>
      <c r="D829" s="557"/>
      <c r="E829" s="557"/>
      <c r="F829" s="558"/>
      <c r="G829" s="558"/>
      <c r="H829" s="293"/>
      <c r="I829" s="559"/>
      <c r="J829" s="559"/>
      <c r="K829" s="559"/>
      <c r="L829" s="559"/>
      <c r="M829" s="559"/>
    </row>
    <row r="830" spans="3:13" x14ac:dyDescent="0.25">
      <c r="C830" s="557"/>
      <c r="D830" s="557"/>
      <c r="E830" s="557"/>
      <c r="F830" s="558"/>
      <c r="G830" s="558"/>
      <c r="H830" s="293"/>
      <c r="I830" s="559"/>
      <c r="J830" s="559"/>
      <c r="K830" s="559"/>
      <c r="L830" s="559"/>
      <c r="M830" s="559"/>
    </row>
    <row r="831" spans="3:13" x14ac:dyDescent="0.25">
      <c r="C831" s="557"/>
      <c r="D831" s="557"/>
      <c r="E831" s="557"/>
      <c r="F831" s="558"/>
      <c r="G831" s="558"/>
      <c r="H831" s="293"/>
      <c r="I831" s="559"/>
      <c r="J831" s="559"/>
      <c r="K831" s="559"/>
      <c r="L831" s="559"/>
      <c r="M831" s="559"/>
    </row>
    <row r="832" spans="3:13" x14ac:dyDescent="0.25">
      <c r="C832" s="557"/>
      <c r="D832" s="557"/>
      <c r="E832" s="557"/>
      <c r="F832" s="558"/>
      <c r="G832" s="558"/>
      <c r="H832" s="293"/>
      <c r="I832" s="559"/>
      <c r="J832" s="559"/>
      <c r="K832" s="559"/>
      <c r="L832" s="559"/>
      <c r="M832" s="559"/>
    </row>
    <row r="833" spans="3:13" x14ac:dyDescent="0.25">
      <c r="C833" s="557"/>
      <c r="D833" s="557"/>
      <c r="E833" s="557"/>
      <c r="F833" s="558"/>
      <c r="G833" s="558"/>
      <c r="H833" s="293"/>
      <c r="I833" s="559"/>
      <c r="J833" s="559"/>
      <c r="K833" s="559"/>
      <c r="L833" s="559"/>
      <c r="M833" s="559"/>
    </row>
    <row r="834" spans="3:13" x14ac:dyDescent="0.25">
      <c r="C834" s="557"/>
      <c r="D834" s="557"/>
      <c r="E834" s="557"/>
      <c r="F834" s="558"/>
      <c r="G834" s="558"/>
      <c r="H834" s="293"/>
      <c r="I834" s="559"/>
      <c r="J834" s="559"/>
      <c r="K834" s="559"/>
      <c r="L834" s="559"/>
      <c r="M834" s="559"/>
    </row>
    <row r="835" spans="3:13" x14ac:dyDescent="0.25">
      <c r="C835" s="557"/>
      <c r="D835" s="557"/>
      <c r="E835" s="557"/>
      <c r="F835" s="558"/>
      <c r="G835" s="558"/>
      <c r="H835" s="293"/>
      <c r="I835" s="559"/>
      <c r="J835" s="559"/>
      <c r="K835" s="559"/>
      <c r="L835" s="559"/>
      <c r="M835" s="559"/>
    </row>
    <row r="836" spans="3:13" x14ac:dyDescent="0.25">
      <c r="C836" s="557"/>
      <c r="D836" s="557"/>
      <c r="E836" s="557"/>
      <c r="F836" s="558"/>
      <c r="G836" s="558"/>
      <c r="H836" s="293"/>
      <c r="I836" s="559"/>
      <c r="J836" s="559"/>
      <c r="K836" s="559"/>
      <c r="L836" s="559"/>
      <c r="M836" s="559"/>
    </row>
    <row r="837" spans="3:13" x14ac:dyDescent="0.25">
      <c r="C837" s="557"/>
      <c r="D837" s="557"/>
      <c r="E837" s="557"/>
      <c r="F837" s="558"/>
      <c r="G837" s="558"/>
      <c r="H837" s="293"/>
      <c r="I837" s="559"/>
      <c r="J837" s="559"/>
      <c r="K837" s="559"/>
      <c r="L837" s="559"/>
      <c r="M837" s="559"/>
    </row>
    <row r="838" spans="3:13" x14ac:dyDescent="0.25">
      <c r="C838" s="557"/>
      <c r="D838" s="557"/>
      <c r="E838" s="557"/>
      <c r="F838" s="558"/>
      <c r="G838" s="558"/>
      <c r="H838" s="293"/>
      <c r="I838" s="559"/>
      <c r="J838" s="559"/>
      <c r="K838" s="559"/>
      <c r="L838" s="559"/>
      <c r="M838" s="559"/>
    </row>
    <row r="839" spans="3:13" x14ac:dyDescent="0.25">
      <c r="C839" s="557"/>
      <c r="D839" s="557"/>
      <c r="E839" s="557"/>
      <c r="F839" s="558"/>
      <c r="G839" s="558"/>
      <c r="H839" s="293"/>
      <c r="I839" s="559"/>
      <c r="J839" s="559"/>
      <c r="K839" s="559"/>
      <c r="L839" s="559"/>
      <c r="M839" s="559"/>
    </row>
    <row r="840" spans="3:13" x14ac:dyDescent="0.25">
      <c r="C840" s="557"/>
      <c r="D840" s="557"/>
      <c r="E840" s="557"/>
      <c r="F840" s="558"/>
      <c r="G840" s="558"/>
      <c r="H840" s="293"/>
      <c r="I840" s="559"/>
      <c r="J840" s="559"/>
      <c r="K840" s="559"/>
      <c r="L840" s="559"/>
      <c r="M840" s="559"/>
    </row>
    <row r="841" spans="3:13" x14ac:dyDescent="0.25">
      <c r="C841" s="557"/>
      <c r="D841" s="557"/>
      <c r="E841" s="557"/>
      <c r="F841" s="558"/>
      <c r="G841" s="558"/>
      <c r="H841" s="293"/>
      <c r="I841" s="559"/>
      <c r="J841" s="559"/>
      <c r="K841" s="559"/>
      <c r="L841" s="559"/>
      <c r="M841" s="559"/>
    </row>
    <row r="842" spans="3:13" x14ac:dyDescent="0.25">
      <c r="C842" s="557"/>
      <c r="D842" s="557"/>
      <c r="E842" s="557"/>
      <c r="F842" s="558"/>
      <c r="G842" s="558"/>
      <c r="H842" s="293"/>
      <c r="I842" s="559"/>
      <c r="J842" s="559"/>
      <c r="K842" s="559"/>
      <c r="L842" s="559"/>
      <c r="M842" s="559"/>
    </row>
    <row r="843" spans="3:13" x14ac:dyDescent="0.25">
      <c r="C843" s="557"/>
      <c r="D843" s="557"/>
      <c r="E843" s="557"/>
      <c r="F843" s="558"/>
      <c r="G843" s="558"/>
      <c r="H843" s="293"/>
      <c r="I843" s="559"/>
      <c r="J843" s="559"/>
      <c r="K843" s="559"/>
      <c r="L843" s="559"/>
      <c r="M843" s="559"/>
    </row>
    <row r="844" spans="3:13" x14ac:dyDescent="0.25">
      <c r="C844" s="557"/>
      <c r="D844" s="557"/>
      <c r="E844" s="557"/>
      <c r="F844" s="558"/>
      <c r="G844" s="558"/>
      <c r="H844" s="293"/>
      <c r="I844" s="559"/>
      <c r="J844" s="559"/>
      <c r="K844" s="559"/>
      <c r="L844" s="559"/>
      <c r="M844" s="559"/>
    </row>
    <row r="845" spans="3:13" x14ac:dyDescent="0.25">
      <c r="C845" s="557"/>
      <c r="D845" s="557"/>
      <c r="E845" s="557"/>
      <c r="F845" s="558"/>
      <c r="G845" s="558"/>
      <c r="H845" s="293"/>
      <c r="I845" s="559"/>
      <c r="J845" s="559"/>
      <c r="K845" s="559"/>
      <c r="L845" s="559"/>
      <c r="M845" s="559"/>
    </row>
    <row r="846" spans="3:13" x14ac:dyDescent="0.25">
      <c r="C846" s="557"/>
      <c r="D846" s="557"/>
      <c r="E846" s="557"/>
      <c r="F846" s="558"/>
      <c r="G846" s="558"/>
      <c r="H846" s="293"/>
      <c r="I846" s="559"/>
      <c r="J846" s="559"/>
      <c r="K846" s="559"/>
      <c r="L846" s="559"/>
      <c r="M846" s="559"/>
    </row>
    <row r="847" spans="3:13" x14ac:dyDescent="0.25">
      <c r="C847" s="557"/>
      <c r="D847" s="557"/>
      <c r="E847" s="557"/>
      <c r="F847" s="558"/>
      <c r="G847" s="558"/>
      <c r="H847" s="293"/>
      <c r="I847" s="559"/>
      <c r="J847" s="559"/>
      <c r="K847" s="559"/>
      <c r="L847" s="559"/>
      <c r="M847" s="559"/>
    </row>
    <row r="848" spans="3:13" x14ac:dyDescent="0.25">
      <c r="C848" s="557"/>
      <c r="D848" s="557"/>
      <c r="E848" s="557"/>
      <c r="F848" s="558"/>
      <c r="G848" s="558"/>
      <c r="H848" s="293"/>
      <c r="I848" s="559"/>
      <c r="J848" s="559"/>
      <c r="K848" s="559"/>
      <c r="L848" s="559"/>
      <c r="M848" s="559"/>
    </row>
    <row r="849" spans="3:13" x14ac:dyDescent="0.25">
      <c r="C849" s="557"/>
      <c r="D849" s="557"/>
      <c r="E849" s="557"/>
      <c r="F849" s="558"/>
      <c r="G849" s="558"/>
      <c r="H849" s="293"/>
      <c r="I849" s="559"/>
      <c r="J849" s="559"/>
      <c r="K849" s="559"/>
      <c r="L849" s="559"/>
      <c r="M849" s="559"/>
    </row>
    <row r="850" spans="3:13" x14ac:dyDescent="0.25">
      <c r="C850" s="557"/>
      <c r="D850" s="557"/>
      <c r="E850" s="557"/>
      <c r="F850" s="558"/>
      <c r="G850" s="558"/>
      <c r="H850" s="293"/>
      <c r="I850" s="559"/>
      <c r="J850" s="559"/>
      <c r="K850" s="559"/>
      <c r="L850" s="559"/>
      <c r="M850" s="559"/>
    </row>
    <row r="851" spans="3:13" x14ac:dyDescent="0.25">
      <c r="C851" s="557"/>
      <c r="D851" s="557"/>
      <c r="E851" s="557"/>
      <c r="F851" s="558"/>
      <c r="G851" s="558"/>
      <c r="H851" s="293"/>
      <c r="I851" s="559"/>
      <c r="J851" s="559"/>
      <c r="K851" s="559"/>
      <c r="L851" s="559"/>
      <c r="M851" s="559"/>
    </row>
    <row r="852" spans="3:13" x14ac:dyDescent="0.25">
      <c r="C852" s="557"/>
      <c r="D852" s="557"/>
      <c r="E852" s="557"/>
      <c r="F852" s="558"/>
      <c r="G852" s="558"/>
      <c r="H852" s="293"/>
      <c r="I852" s="559"/>
      <c r="J852" s="559"/>
      <c r="K852" s="559"/>
      <c r="L852" s="559"/>
      <c r="M852" s="559"/>
    </row>
    <row r="853" spans="3:13" x14ac:dyDescent="0.25">
      <c r="C853" s="557"/>
      <c r="D853" s="557"/>
      <c r="E853" s="557"/>
      <c r="F853" s="558"/>
      <c r="G853" s="558"/>
      <c r="H853" s="293"/>
      <c r="I853" s="559"/>
      <c r="J853" s="559"/>
      <c r="K853" s="559"/>
      <c r="L853" s="559"/>
      <c r="M853" s="559"/>
    </row>
    <row r="854" spans="3:13" x14ac:dyDescent="0.25">
      <c r="C854" s="557"/>
      <c r="D854" s="557"/>
      <c r="E854" s="557"/>
      <c r="F854" s="558"/>
      <c r="G854" s="558"/>
      <c r="H854" s="293"/>
      <c r="I854" s="559"/>
      <c r="J854" s="559"/>
      <c r="K854" s="559"/>
      <c r="L854" s="559"/>
      <c r="M854" s="559"/>
    </row>
    <row r="855" spans="3:13" x14ac:dyDescent="0.25">
      <c r="C855" s="557"/>
      <c r="D855" s="557"/>
      <c r="E855" s="557"/>
      <c r="F855" s="558"/>
      <c r="G855" s="558"/>
      <c r="H855" s="293"/>
      <c r="I855" s="559"/>
      <c r="J855" s="559"/>
      <c r="K855" s="559"/>
      <c r="L855" s="559"/>
      <c r="M855" s="559"/>
    </row>
    <row r="856" spans="3:13" x14ac:dyDescent="0.25">
      <c r="C856" s="557"/>
      <c r="D856" s="557"/>
      <c r="E856" s="557"/>
      <c r="F856" s="558"/>
      <c r="G856" s="558"/>
      <c r="H856" s="293"/>
      <c r="I856" s="559"/>
      <c r="J856" s="559"/>
      <c r="K856" s="559"/>
      <c r="L856" s="559"/>
      <c r="M856" s="559"/>
    </row>
    <row r="857" spans="3:13" x14ac:dyDescent="0.25">
      <c r="C857" s="557"/>
      <c r="D857" s="557"/>
      <c r="E857" s="557"/>
      <c r="F857" s="558"/>
      <c r="G857" s="558"/>
      <c r="H857" s="293"/>
      <c r="I857" s="559"/>
      <c r="J857" s="559"/>
      <c r="K857" s="559"/>
      <c r="L857" s="559"/>
      <c r="M857" s="559"/>
    </row>
    <row r="858" spans="3:13" x14ac:dyDescent="0.25">
      <c r="C858" s="557"/>
      <c r="D858" s="557"/>
      <c r="E858" s="557"/>
      <c r="F858" s="558"/>
      <c r="G858" s="558"/>
      <c r="H858" s="293"/>
      <c r="I858" s="559"/>
      <c r="J858" s="559"/>
      <c r="K858" s="559"/>
      <c r="L858" s="559"/>
      <c r="M858" s="559"/>
    </row>
    <row r="859" spans="3:13" x14ac:dyDescent="0.25">
      <c r="C859" s="557"/>
      <c r="D859" s="557"/>
      <c r="E859" s="557"/>
      <c r="F859" s="558"/>
      <c r="G859" s="558"/>
      <c r="H859" s="293"/>
      <c r="I859" s="559"/>
      <c r="J859" s="559"/>
      <c r="K859" s="559"/>
      <c r="L859" s="559"/>
      <c r="M859" s="559"/>
    </row>
    <row r="860" spans="3:13" x14ac:dyDescent="0.25">
      <c r="C860" s="557"/>
      <c r="D860" s="557"/>
      <c r="E860" s="557"/>
      <c r="F860" s="558"/>
      <c r="G860" s="558"/>
      <c r="H860" s="293"/>
      <c r="I860" s="559"/>
      <c r="J860" s="559"/>
      <c r="K860" s="559"/>
      <c r="L860" s="559"/>
      <c r="M860" s="559"/>
    </row>
    <row r="861" spans="3:13" x14ac:dyDescent="0.25">
      <c r="C861" s="557"/>
      <c r="D861" s="557"/>
      <c r="E861" s="557"/>
      <c r="F861" s="558"/>
      <c r="G861" s="558"/>
      <c r="H861" s="293"/>
      <c r="I861" s="559"/>
      <c r="J861" s="559"/>
      <c r="K861" s="559"/>
      <c r="L861" s="559"/>
      <c r="M861" s="559"/>
    </row>
    <row r="862" spans="3:13" x14ac:dyDescent="0.25">
      <c r="C862" s="557"/>
      <c r="D862" s="557"/>
      <c r="E862" s="557"/>
      <c r="F862" s="558"/>
      <c r="G862" s="558"/>
      <c r="H862" s="293"/>
      <c r="I862" s="559"/>
      <c r="J862" s="559"/>
      <c r="K862" s="559"/>
      <c r="L862" s="559"/>
      <c r="M862" s="559"/>
    </row>
    <row r="863" spans="3:13" x14ac:dyDescent="0.25">
      <c r="C863" s="557"/>
      <c r="D863" s="557"/>
      <c r="E863" s="557"/>
      <c r="F863" s="558"/>
      <c r="G863" s="558"/>
      <c r="H863" s="293"/>
      <c r="I863" s="559"/>
      <c r="J863" s="559"/>
      <c r="K863" s="559"/>
      <c r="L863" s="559"/>
      <c r="M863" s="559"/>
    </row>
    <row r="864" spans="3:13" x14ac:dyDescent="0.25">
      <c r="C864" s="557"/>
      <c r="D864" s="557"/>
      <c r="E864" s="557"/>
      <c r="F864" s="558"/>
      <c r="G864" s="558"/>
      <c r="H864" s="293"/>
      <c r="I864" s="559"/>
      <c r="J864" s="559"/>
      <c r="K864" s="559"/>
      <c r="L864" s="559"/>
      <c r="M864" s="559"/>
    </row>
    <row r="865" spans="3:13" x14ac:dyDescent="0.25">
      <c r="C865" s="557"/>
      <c r="D865" s="557"/>
      <c r="E865" s="557"/>
      <c r="F865" s="558"/>
      <c r="G865" s="558"/>
      <c r="H865" s="293"/>
      <c r="I865" s="559"/>
      <c r="J865" s="559"/>
      <c r="K865" s="559"/>
      <c r="L865" s="559"/>
      <c r="M865" s="559"/>
    </row>
    <row r="866" spans="3:13" x14ac:dyDescent="0.25">
      <c r="C866" s="557"/>
      <c r="D866" s="557"/>
      <c r="E866" s="557"/>
      <c r="F866" s="558"/>
      <c r="G866" s="558"/>
      <c r="H866" s="293"/>
      <c r="I866" s="559"/>
      <c r="J866" s="559"/>
      <c r="K866" s="559"/>
      <c r="L866" s="559"/>
      <c r="M866" s="559"/>
    </row>
    <row r="867" spans="3:13" x14ac:dyDescent="0.25">
      <c r="C867" s="557"/>
      <c r="D867" s="557"/>
      <c r="E867" s="557"/>
      <c r="F867" s="558"/>
      <c r="G867" s="558"/>
      <c r="H867" s="293"/>
      <c r="I867" s="559"/>
      <c r="J867" s="559"/>
      <c r="K867" s="559"/>
      <c r="L867" s="559"/>
      <c r="M867" s="559"/>
    </row>
    <row r="868" spans="3:13" x14ac:dyDescent="0.25">
      <c r="C868" s="557"/>
      <c r="D868" s="557"/>
      <c r="E868" s="557"/>
      <c r="F868" s="558"/>
      <c r="G868" s="558"/>
      <c r="H868" s="293"/>
      <c r="I868" s="559"/>
      <c r="J868" s="559"/>
      <c r="K868" s="559"/>
      <c r="L868" s="559"/>
      <c r="M868" s="559"/>
    </row>
    <row r="869" spans="3:13" x14ac:dyDescent="0.25">
      <c r="C869" s="557"/>
      <c r="D869" s="557"/>
      <c r="E869" s="557"/>
      <c r="F869" s="558"/>
      <c r="G869" s="558"/>
      <c r="H869" s="293"/>
      <c r="I869" s="559"/>
      <c r="J869" s="559"/>
      <c r="K869" s="559"/>
      <c r="L869" s="559"/>
      <c r="M869" s="559"/>
    </row>
    <row r="870" spans="3:13" x14ac:dyDescent="0.25">
      <c r="C870" s="557"/>
      <c r="D870" s="557"/>
      <c r="E870" s="557"/>
      <c r="F870" s="558"/>
      <c r="G870" s="558"/>
      <c r="H870" s="293"/>
      <c r="I870" s="559"/>
      <c r="J870" s="559"/>
      <c r="K870" s="559"/>
      <c r="L870" s="559"/>
      <c r="M870" s="559"/>
    </row>
    <row r="871" spans="3:13" x14ac:dyDescent="0.25">
      <c r="C871" s="557"/>
      <c r="D871" s="557"/>
      <c r="E871" s="557"/>
      <c r="F871" s="558"/>
      <c r="G871" s="558"/>
      <c r="H871" s="293"/>
      <c r="I871" s="559"/>
      <c r="J871" s="559"/>
      <c r="K871" s="559"/>
      <c r="L871" s="559"/>
      <c r="M871" s="559"/>
    </row>
    <row r="872" spans="3:13" x14ac:dyDescent="0.25">
      <c r="C872" s="557"/>
      <c r="D872" s="557"/>
      <c r="E872" s="557"/>
      <c r="F872" s="558"/>
      <c r="G872" s="558"/>
      <c r="H872" s="293"/>
      <c r="I872" s="559"/>
      <c r="J872" s="559"/>
      <c r="K872" s="559"/>
      <c r="L872" s="559"/>
      <c r="M872" s="559"/>
    </row>
    <row r="873" spans="3:13" x14ac:dyDescent="0.25">
      <c r="C873" s="557"/>
      <c r="D873" s="557"/>
      <c r="E873" s="557"/>
      <c r="F873" s="558"/>
      <c r="G873" s="558"/>
      <c r="H873" s="293"/>
      <c r="I873" s="559"/>
      <c r="J873" s="559"/>
      <c r="K873" s="559"/>
      <c r="L873" s="559"/>
      <c r="M873" s="559"/>
    </row>
    <row r="874" spans="3:13" x14ac:dyDescent="0.25">
      <c r="C874" s="557"/>
      <c r="D874" s="557"/>
      <c r="E874" s="557"/>
      <c r="F874" s="558"/>
      <c r="G874" s="558"/>
      <c r="H874" s="293"/>
      <c r="I874" s="559"/>
      <c r="J874" s="559"/>
      <c r="K874" s="559"/>
      <c r="L874" s="559"/>
      <c r="M874" s="559"/>
    </row>
    <row r="875" spans="3:13" x14ac:dyDescent="0.25">
      <c r="C875" s="557"/>
      <c r="D875" s="557"/>
      <c r="E875" s="557"/>
      <c r="F875" s="558"/>
      <c r="G875" s="558"/>
      <c r="H875" s="293"/>
      <c r="I875" s="559"/>
      <c r="J875" s="559"/>
      <c r="K875" s="559"/>
      <c r="L875" s="559"/>
      <c r="M875" s="559"/>
    </row>
    <row r="876" spans="3:13" x14ac:dyDescent="0.25">
      <c r="C876" s="557"/>
      <c r="D876" s="557"/>
      <c r="E876" s="557"/>
      <c r="F876" s="558"/>
      <c r="G876" s="558"/>
      <c r="H876" s="293"/>
      <c r="I876" s="559"/>
      <c r="J876" s="559"/>
      <c r="K876" s="559"/>
      <c r="L876" s="559"/>
      <c r="M876" s="559"/>
    </row>
    <row r="877" spans="3:13" x14ac:dyDescent="0.25">
      <c r="C877" s="557"/>
      <c r="D877" s="557"/>
      <c r="E877" s="557"/>
      <c r="F877" s="558"/>
      <c r="G877" s="558"/>
      <c r="H877" s="293"/>
      <c r="I877" s="559"/>
      <c r="J877" s="559"/>
      <c r="K877" s="559"/>
      <c r="L877" s="559"/>
      <c r="M877" s="559"/>
    </row>
    <row r="878" spans="3:13" x14ac:dyDescent="0.25">
      <c r="C878" s="557"/>
      <c r="D878" s="557"/>
      <c r="E878" s="557"/>
      <c r="F878" s="558"/>
      <c r="G878" s="558"/>
      <c r="H878" s="293"/>
      <c r="I878" s="559"/>
      <c r="J878" s="559"/>
      <c r="K878" s="559"/>
      <c r="L878" s="559"/>
      <c r="M878" s="559"/>
    </row>
    <row r="879" spans="3:13" x14ac:dyDescent="0.25">
      <c r="C879" s="557"/>
      <c r="D879" s="557"/>
      <c r="E879" s="557"/>
      <c r="F879" s="558"/>
      <c r="G879" s="558"/>
      <c r="H879" s="293"/>
      <c r="I879" s="559"/>
      <c r="J879" s="559"/>
      <c r="K879" s="559"/>
      <c r="L879" s="559"/>
      <c r="M879" s="559"/>
    </row>
    <row r="880" spans="3:13" x14ac:dyDescent="0.25">
      <c r="C880" s="557"/>
      <c r="D880" s="557"/>
      <c r="E880" s="557"/>
      <c r="F880" s="558"/>
      <c r="G880" s="558"/>
      <c r="H880" s="293"/>
      <c r="I880" s="559"/>
      <c r="J880" s="559"/>
      <c r="K880" s="559"/>
      <c r="L880" s="559"/>
      <c r="M880" s="559"/>
    </row>
    <row r="881" spans="3:13" x14ac:dyDescent="0.25">
      <c r="C881" s="557"/>
      <c r="D881" s="557"/>
      <c r="E881" s="557"/>
      <c r="F881" s="558"/>
      <c r="G881" s="558"/>
      <c r="H881" s="293"/>
      <c r="I881" s="559"/>
      <c r="J881" s="559"/>
      <c r="K881" s="559"/>
      <c r="L881" s="559"/>
      <c r="M881" s="559"/>
    </row>
    <row r="882" spans="3:13" x14ac:dyDescent="0.25">
      <c r="C882" s="557"/>
      <c r="D882" s="557"/>
      <c r="E882" s="557"/>
      <c r="F882" s="558"/>
      <c r="G882" s="558"/>
      <c r="H882" s="293"/>
      <c r="I882" s="559"/>
      <c r="J882" s="559"/>
      <c r="K882" s="559"/>
      <c r="L882" s="559"/>
      <c r="M882" s="559"/>
    </row>
    <row r="883" spans="3:13" x14ac:dyDescent="0.25">
      <c r="C883" s="557"/>
      <c r="D883" s="557"/>
      <c r="E883" s="557"/>
      <c r="F883" s="558"/>
      <c r="G883" s="558"/>
      <c r="H883" s="293"/>
      <c r="I883" s="559"/>
      <c r="J883" s="559"/>
      <c r="K883" s="559"/>
      <c r="L883" s="559"/>
      <c r="M883" s="559"/>
    </row>
    <row r="884" spans="3:13" x14ac:dyDescent="0.25">
      <c r="C884" s="557"/>
      <c r="D884" s="557"/>
      <c r="E884" s="557"/>
      <c r="F884" s="558"/>
      <c r="G884" s="558"/>
      <c r="H884" s="293"/>
      <c r="I884" s="559"/>
      <c r="J884" s="559"/>
      <c r="K884" s="559"/>
      <c r="L884" s="559"/>
      <c r="M884" s="559"/>
    </row>
    <row r="885" spans="3:13" x14ac:dyDescent="0.25">
      <c r="C885" s="557"/>
      <c r="D885" s="557"/>
      <c r="E885" s="557"/>
      <c r="F885" s="558"/>
      <c r="G885" s="558"/>
      <c r="H885" s="293"/>
      <c r="I885" s="559"/>
      <c r="J885" s="559"/>
      <c r="K885" s="559"/>
      <c r="L885" s="559"/>
      <c r="M885" s="559"/>
    </row>
    <row r="886" spans="3:13" x14ac:dyDescent="0.25">
      <c r="C886" s="557"/>
      <c r="D886" s="557"/>
      <c r="E886" s="557"/>
      <c r="F886" s="558"/>
      <c r="G886" s="558"/>
      <c r="H886" s="293"/>
      <c r="I886" s="559"/>
      <c r="J886" s="559"/>
      <c r="K886" s="559"/>
      <c r="L886" s="559"/>
      <c r="M886" s="559"/>
    </row>
    <row r="887" spans="3:13" x14ac:dyDescent="0.25">
      <c r="C887" s="557"/>
      <c r="D887" s="557"/>
      <c r="E887" s="557"/>
      <c r="F887" s="558"/>
      <c r="G887" s="558"/>
      <c r="H887" s="293"/>
      <c r="I887" s="559"/>
      <c r="J887" s="559"/>
      <c r="K887" s="559"/>
      <c r="L887" s="559"/>
      <c r="M887" s="559"/>
    </row>
    <row r="888" spans="3:13" x14ac:dyDescent="0.25">
      <c r="C888" s="557"/>
      <c r="D888" s="557"/>
      <c r="E888" s="557"/>
      <c r="F888" s="558"/>
      <c r="G888" s="558"/>
      <c r="H888" s="293"/>
      <c r="I888" s="559"/>
      <c r="J888" s="559"/>
      <c r="K888" s="559"/>
      <c r="L888" s="559"/>
      <c r="M888" s="559"/>
    </row>
    <row r="889" spans="3:13" x14ac:dyDescent="0.25">
      <c r="C889" s="557"/>
      <c r="D889" s="557"/>
      <c r="E889" s="557"/>
      <c r="F889" s="558"/>
      <c r="G889" s="558"/>
      <c r="H889" s="293"/>
      <c r="I889" s="559"/>
      <c r="J889" s="559"/>
      <c r="K889" s="559"/>
      <c r="L889" s="559"/>
      <c r="M889" s="559"/>
    </row>
    <row r="890" spans="3:13" x14ac:dyDescent="0.25">
      <c r="C890" s="557"/>
      <c r="D890" s="557"/>
      <c r="E890" s="557"/>
      <c r="F890" s="558"/>
      <c r="G890" s="558"/>
      <c r="H890" s="293"/>
      <c r="I890" s="559"/>
      <c r="J890" s="559"/>
      <c r="K890" s="559"/>
      <c r="L890" s="559"/>
      <c r="M890" s="559"/>
    </row>
    <row r="891" spans="3:13" x14ac:dyDescent="0.25">
      <c r="C891" s="557"/>
      <c r="D891" s="557"/>
      <c r="E891" s="557"/>
      <c r="F891" s="558"/>
      <c r="G891" s="558"/>
      <c r="H891" s="293"/>
      <c r="I891" s="559"/>
      <c r="J891" s="559"/>
      <c r="K891" s="559"/>
      <c r="L891" s="559"/>
      <c r="M891" s="559"/>
    </row>
    <row r="892" spans="3:13" x14ac:dyDescent="0.25">
      <c r="C892" s="557"/>
      <c r="D892" s="557"/>
      <c r="E892" s="557"/>
      <c r="F892" s="558"/>
      <c r="G892" s="558"/>
      <c r="H892" s="293"/>
      <c r="I892" s="559"/>
      <c r="J892" s="559"/>
      <c r="K892" s="559"/>
      <c r="L892" s="559"/>
      <c r="M892" s="559"/>
    </row>
    <row r="893" spans="3:13" x14ac:dyDescent="0.25">
      <c r="C893" s="557"/>
      <c r="D893" s="557"/>
      <c r="E893" s="557"/>
      <c r="F893" s="558"/>
      <c r="G893" s="558"/>
      <c r="H893" s="293"/>
      <c r="I893" s="559"/>
      <c r="J893" s="559"/>
      <c r="K893" s="559"/>
      <c r="L893" s="559"/>
      <c r="M893" s="559"/>
    </row>
    <row r="894" spans="3:13" x14ac:dyDescent="0.25">
      <c r="C894" s="557"/>
      <c r="D894" s="557"/>
      <c r="E894" s="557"/>
      <c r="F894" s="558"/>
      <c r="G894" s="558"/>
      <c r="H894" s="293"/>
      <c r="I894" s="559"/>
      <c r="J894" s="559"/>
      <c r="K894" s="559"/>
      <c r="L894" s="559"/>
      <c r="M894" s="559"/>
    </row>
    <row r="895" spans="3:13" x14ac:dyDescent="0.25">
      <c r="C895" s="557"/>
      <c r="D895" s="557"/>
      <c r="E895" s="557"/>
      <c r="F895" s="558"/>
      <c r="G895" s="558"/>
      <c r="H895" s="293"/>
      <c r="I895" s="559"/>
      <c r="J895" s="559"/>
      <c r="K895" s="559"/>
      <c r="L895" s="559"/>
      <c r="M895" s="559"/>
    </row>
    <row r="896" spans="3:13" x14ac:dyDescent="0.25">
      <c r="C896" s="557"/>
      <c r="D896" s="557"/>
      <c r="E896" s="557"/>
      <c r="F896" s="558"/>
      <c r="G896" s="558"/>
      <c r="H896" s="293"/>
      <c r="I896" s="559"/>
      <c r="J896" s="559"/>
      <c r="K896" s="559"/>
      <c r="L896" s="559"/>
      <c r="M896" s="559"/>
    </row>
    <row r="897" spans="3:13" x14ac:dyDescent="0.25">
      <c r="C897" s="557"/>
      <c r="D897" s="557"/>
      <c r="E897" s="557"/>
      <c r="F897" s="558"/>
      <c r="G897" s="558"/>
      <c r="H897" s="293"/>
      <c r="I897" s="559"/>
      <c r="J897" s="559"/>
      <c r="K897" s="559"/>
      <c r="L897" s="559"/>
      <c r="M897" s="559"/>
    </row>
    <row r="898" spans="3:13" x14ac:dyDescent="0.25">
      <c r="C898" s="557"/>
      <c r="D898" s="557"/>
      <c r="E898" s="557"/>
      <c r="F898" s="558"/>
      <c r="G898" s="558"/>
      <c r="H898" s="293"/>
      <c r="I898" s="559"/>
      <c r="J898" s="559"/>
      <c r="K898" s="559"/>
      <c r="L898" s="559"/>
      <c r="M898" s="559"/>
    </row>
    <row r="899" spans="3:13" x14ac:dyDescent="0.25">
      <c r="C899" s="557"/>
      <c r="D899" s="557"/>
      <c r="E899" s="557"/>
      <c r="F899" s="558"/>
      <c r="G899" s="558"/>
      <c r="H899" s="293"/>
      <c r="I899" s="559"/>
      <c r="J899" s="559"/>
      <c r="K899" s="559"/>
      <c r="L899" s="559"/>
      <c r="M899" s="559"/>
    </row>
    <row r="900" spans="3:13" x14ac:dyDescent="0.25">
      <c r="C900" s="557"/>
      <c r="D900" s="557"/>
      <c r="E900" s="557"/>
      <c r="F900" s="558"/>
      <c r="G900" s="558"/>
      <c r="H900" s="293"/>
      <c r="I900" s="559"/>
      <c r="J900" s="559"/>
      <c r="K900" s="559"/>
      <c r="L900" s="559"/>
      <c r="M900" s="559"/>
    </row>
    <row r="901" spans="3:13" x14ac:dyDescent="0.25">
      <c r="C901" s="557"/>
      <c r="D901" s="557"/>
      <c r="E901" s="557"/>
      <c r="F901" s="558"/>
      <c r="G901" s="558"/>
      <c r="H901" s="293"/>
      <c r="I901" s="559"/>
      <c r="J901" s="559"/>
      <c r="K901" s="559"/>
      <c r="L901" s="559"/>
      <c r="M901" s="559"/>
    </row>
    <row r="902" spans="3:13" x14ac:dyDescent="0.25">
      <c r="C902" s="557"/>
      <c r="D902" s="557"/>
      <c r="E902" s="557"/>
      <c r="F902" s="558"/>
      <c r="G902" s="558"/>
      <c r="H902" s="293"/>
      <c r="I902" s="559"/>
      <c r="J902" s="559"/>
      <c r="K902" s="559"/>
      <c r="L902" s="559"/>
      <c r="M902" s="559"/>
    </row>
    <row r="903" spans="3:13" x14ac:dyDescent="0.25">
      <c r="C903" s="557"/>
      <c r="D903" s="557"/>
      <c r="E903" s="557"/>
      <c r="F903" s="558"/>
      <c r="G903" s="558"/>
      <c r="H903" s="293"/>
      <c r="I903" s="559"/>
      <c r="J903" s="559"/>
      <c r="K903" s="559"/>
      <c r="L903" s="559"/>
      <c r="M903" s="559"/>
    </row>
    <row r="904" spans="3:13" x14ac:dyDescent="0.25">
      <c r="C904" s="557"/>
      <c r="D904" s="557"/>
      <c r="E904" s="557"/>
      <c r="F904" s="558"/>
      <c r="G904" s="558"/>
      <c r="H904" s="293"/>
      <c r="I904" s="559"/>
      <c r="J904" s="559"/>
      <c r="K904" s="559"/>
      <c r="L904" s="559"/>
      <c r="M904" s="559"/>
    </row>
    <row r="905" spans="3:13" x14ac:dyDescent="0.25">
      <c r="C905" s="557"/>
      <c r="D905" s="557"/>
      <c r="E905" s="557"/>
      <c r="F905" s="558"/>
      <c r="G905" s="558"/>
      <c r="H905" s="293"/>
      <c r="I905" s="559"/>
      <c r="J905" s="559"/>
      <c r="K905" s="559"/>
      <c r="L905" s="559"/>
      <c r="M905" s="559"/>
    </row>
    <row r="906" spans="3:13" x14ac:dyDescent="0.25">
      <c r="C906" s="557"/>
      <c r="D906" s="557"/>
      <c r="E906" s="557"/>
      <c r="F906" s="558"/>
      <c r="G906" s="558"/>
      <c r="H906" s="293"/>
      <c r="I906" s="559"/>
      <c r="J906" s="559"/>
      <c r="K906" s="559"/>
      <c r="L906" s="559"/>
      <c r="M906" s="559"/>
    </row>
    <row r="907" spans="3:13" x14ac:dyDescent="0.25">
      <c r="C907" s="557"/>
      <c r="D907" s="557"/>
      <c r="E907" s="557"/>
      <c r="F907" s="558"/>
      <c r="G907" s="558"/>
      <c r="H907" s="293"/>
      <c r="I907" s="559"/>
      <c r="J907" s="559"/>
      <c r="K907" s="559"/>
      <c r="L907" s="559"/>
      <c r="M907" s="559"/>
    </row>
    <row r="908" spans="3:13" x14ac:dyDescent="0.25">
      <c r="C908" s="557"/>
      <c r="D908" s="557"/>
      <c r="E908" s="557"/>
      <c r="F908" s="558"/>
      <c r="G908" s="558"/>
      <c r="H908" s="293"/>
      <c r="I908" s="559"/>
      <c r="J908" s="559"/>
      <c r="K908" s="559"/>
      <c r="L908" s="559"/>
      <c r="M908" s="559"/>
    </row>
    <row r="909" spans="3:13" x14ac:dyDescent="0.25">
      <c r="C909" s="557"/>
      <c r="D909" s="557"/>
      <c r="E909" s="557"/>
      <c r="F909" s="558"/>
      <c r="G909" s="558"/>
      <c r="H909" s="293"/>
      <c r="I909" s="559"/>
      <c r="J909" s="559"/>
      <c r="K909" s="559"/>
      <c r="L909" s="559"/>
      <c r="M909" s="559"/>
    </row>
    <row r="910" spans="3:13" x14ac:dyDescent="0.25">
      <c r="C910" s="557"/>
      <c r="D910" s="557"/>
      <c r="E910" s="557"/>
      <c r="F910" s="558"/>
      <c r="G910" s="558"/>
      <c r="H910" s="293"/>
      <c r="I910" s="559"/>
      <c r="J910" s="559"/>
      <c r="K910" s="559"/>
      <c r="L910" s="559"/>
      <c r="M910" s="559"/>
    </row>
    <row r="911" spans="3:13" x14ac:dyDescent="0.25">
      <c r="C911" s="557"/>
      <c r="D911" s="557"/>
      <c r="E911" s="557"/>
      <c r="F911" s="558"/>
      <c r="G911" s="558"/>
      <c r="H911" s="293"/>
      <c r="I911" s="559"/>
      <c r="J911" s="559"/>
      <c r="K911" s="559"/>
      <c r="L911" s="559"/>
      <c r="M911" s="559"/>
    </row>
    <row r="912" spans="3:13" x14ac:dyDescent="0.25">
      <c r="C912" s="557"/>
      <c r="D912" s="557"/>
      <c r="E912" s="557"/>
      <c r="F912" s="558"/>
      <c r="G912" s="558"/>
      <c r="H912" s="293"/>
      <c r="I912" s="559"/>
      <c r="J912" s="559"/>
      <c r="K912" s="559"/>
      <c r="L912" s="559"/>
      <c r="M912" s="559"/>
    </row>
    <row r="913" spans="3:13" x14ac:dyDescent="0.25">
      <c r="C913" s="557"/>
      <c r="D913" s="557"/>
      <c r="E913" s="557"/>
      <c r="F913" s="558"/>
      <c r="G913" s="558"/>
      <c r="H913" s="293"/>
      <c r="I913" s="559"/>
      <c r="J913" s="559"/>
      <c r="K913" s="559"/>
      <c r="L913" s="559"/>
      <c r="M913" s="559"/>
    </row>
    <row r="914" spans="3:13" x14ac:dyDescent="0.25">
      <c r="C914" s="557"/>
      <c r="D914" s="557"/>
      <c r="E914" s="557"/>
      <c r="F914" s="558"/>
      <c r="G914" s="558"/>
      <c r="H914" s="293"/>
      <c r="I914" s="559"/>
      <c r="J914" s="559"/>
      <c r="K914" s="559"/>
      <c r="L914" s="559"/>
      <c r="M914" s="559"/>
    </row>
    <row r="915" spans="3:13" x14ac:dyDescent="0.25">
      <c r="C915" s="557"/>
      <c r="D915" s="557"/>
      <c r="E915" s="557"/>
      <c r="F915" s="558"/>
      <c r="G915" s="558"/>
      <c r="H915" s="293"/>
      <c r="I915" s="559"/>
      <c r="J915" s="559"/>
      <c r="K915" s="559"/>
      <c r="L915" s="559"/>
      <c r="M915" s="559"/>
    </row>
    <row r="916" spans="3:13" x14ac:dyDescent="0.25">
      <c r="C916" s="557"/>
      <c r="D916" s="557"/>
      <c r="E916" s="557"/>
      <c r="F916" s="558"/>
      <c r="G916" s="558"/>
      <c r="H916" s="293"/>
      <c r="I916" s="559"/>
      <c r="J916" s="559"/>
      <c r="K916" s="559"/>
      <c r="L916" s="559"/>
      <c r="M916" s="559"/>
    </row>
    <row r="917" spans="3:13" x14ac:dyDescent="0.25">
      <c r="C917" s="557"/>
      <c r="D917" s="557"/>
      <c r="E917" s="557"/>
      <c r="F917" s="558"/>
      <c r="G917" s="558"/>
      <c r="H917" s="293"/>
      <c r="I917" s="559"/>
      <c r="J917" s="559"/>
      <c r="K917" s="559"/>
      <c r="L917" s="559"/>
      <c r="M917" s="559"/>
    </row>
    <row r="918" spans="3:13" x14ac:dyDescent="0.25">
      <c r="C918" s="557"/>
      <c r="D918" s="557"/>
      <c r="E918" s="557"/>
      <c r="F918" s="558"/>
      <c r="G918" s="558"/>
      <c r="H918" s="293"/>
      <c r="I918" s="559"/>
      <c r="J918" s="559"/>
      <c r="K918" s="559"/>
      <c r="L918" s="559"/>
      <c r="M918" s="559"/>
    </row>
    <row r="919" spans="3:13" x14ac:dyDescent="0.25">
      <c r="C919" s="557"/>
      <c r="D919" s="557"/>
      <c r="E919" s="557"/>
      <c r="F919" s="558"/>
      <c r="G919" s="558"/>
      <c r="H919" s="293"/>
      <c r="I919" s="559"/>
      <c r="J919" s="559"/>
      <c r="K919" s="559"/>
      <c r="L919" s="559"/>
      <c r="M919" s="559"/>
    </row>
    <row r="920" spans="3:13" x14ac:dyDescent="0.25">
      <c r="C920" s="557"/>
      <c r="D920" s="557"/>
      <c r="E920" s="557"/>
      <c r="F920" s="558"/>
      <c r="G920" s="558"/>
      <c r="H920" s="293"/>
      <c r="I920" s="559"/>
      <c r="J920" s="559"/>
      <c r="K920" s="559"/>
      <c r="L920" s="559"/>
      <c r="M920" s="559"/>
    </row>
    <row r="921" spans="3:13" x14ac:dyDescent="0.25">
      <c r="C921" s="557"/>
      <c r="D921" s="557"/>
      <c r="E921" s="557"/>
      <c r="F921" s="558"/>
      <c r="G921" s="558"/>
      <c r="H921" s="293"/>
      <c r="I921" s="559"/>
      <c r="J921" s="559"/>
      <c r="K921" s="559"/>
      <c r="L921" s="559"/>
      <c r="M921" s="559"/>
    </row>
    <row r="922" spans="3:13" x14ac:dyDescent="0.25">
      <c r="C922" s="557"/>
      <c r="D922" s="557"/>
      <c r="E922" s="557"/>
      <c r="F922" s="558"/>
      <c r="G922" s="558"/>
      <c r="H922" s="293"/>
      <c r="I922" s="559"/>
      <c r="J922" s="559"/>
      <c r="K922" s="559"/>
      <c r="L922" s="559"/>
      <c r="M922" s="559"/>
    </row>
    <row r="923" spans="3:13" x14ac:dyDescent="0.25">
      <c r="C923" s="557"/>
      <c r="D923" s="557"/>
      <c r="E923" s="557"/>
      <c r="F923" s="558"/>
      <c r="G923" s="558"/>
      <c r="H923" s="293"/>
      <c r="I923" s="559"/>
      <c r="J923" s="559"/>
      <c r="K923" s="559"/>
      <c r="L923" s="559"/>
      <c r="M923" s="559"/>
    </row>
    <row r="924" spans="3:13" x14ac:dyDescent="0.25">
      <c r="C924" s="557"/>
      <c r="D924" s="557"/>
      <c r="E924" s="557"/>
      <c r="F924" s="558"/>
      <c r="G924" s="558"/>
      <c r="H924" s="293"/>
      <c r="I924" s="559"/>
      <c r="J924" s="559"/>
      <c r="K924" s="559"/>
      <c r="L924" s="559"/>
      <c r="M924" s="559"/>
    </row>
    <row r="925" spans="3:13" x14ac:dyDescent="0.25">
      <c r="C925" s="557"/>
      <c r="D925" s="557"/>
      <c r="E925" s="557"/>
      <c r="F925" s="558"/>
      <c r="G925" s="558"/>
      <c r="H925" s="293"/>
      <c r="I925" s="559"/>
      <c r="J925" s="559"/>
      <c r="K925" s="559"/>
      <c r="L925" s="559"/>
      <c r="M925" s="559"/>
    </row>
    <row r="926" spans="3:13" x14ac:dyDescent="0.25">
      <c r="C926" s="557"/>
      <c r="D926" s="557"/>
      <c r="E926" s="557"/>
      <c r="F926" s="558"/>
      <c r="G926" s="558"/>
      <c r="H926" s="293"/>
      <c r="I926" s="559"/>
      <c r="J926" s="559"/>
      <c r="K926" s="559"/>
      <c r="L926" s="559"/>
      <c r="M926" s="559"/>
    </row>
    <row r="927" spans="3:13" x14ac:dyDescent="0.25">
      <c r="C927" s="557"/>
      <c r="D927" s="557"/>
      <c r="E927" s="557"/>
      <c r="F927" s="558"/>
      <c r="G927" s="558"/>
      <c r="H927" s="293"/>
      <c r="I927" s="559"/>
      <c r="J927" s="559"/>
      <c r="K927" s="559"/>
      <c r="L927" s="559"/>
      <c r="M927" s="559"/>
    </row>
    <row r="928" spans="3:13" x14ac:dyDescent="0.25">
      <c r="C928" s="557"/>
      <c r="D928" s="557"/>
      <c r="E928" s="557"/>
      <c r="F928" s="558"/>
      <c r="G928" s="558"/>
      <c r="H928" s="293"/>
      <c r="I928" s="559"/>
      <c r="J928" s="559"/>
      <c r="K928" s="559"/>
      <c r="L928" s="559"/>
      <c r="M928" s="559"/>
    </row>
    <row r="929" spans="3:13" x14ac:dyDescent="0.25">
      <c r="C929" s="557"/>
      <c r="D929" s="557"/>
      <c r="E929" s="557"/>
      <c r="F929" s="558"/>
      <c r="G929" s="558"/>
      <c r="H929" s="293"/>
      <c r="I929" s="559"/>
      <c r="J929" s="559"/>
      <c r="K929" s="559"/>
      <c r="L929" s="559"/>
      <c r="M929" s="559"/>
    </row>
    <row r="930" spans="3:13" x14ac:dyDescent="0.25">
      <c r="C930" s="557"/>
      <c r="D930" s="557"/>
      <c r="E930" s="557"/>
      <c r="F930" s="558"/>
      <c r="G930" s="558"/>
      <c r="H930" s="293"/>
      <c r="I930" s="559"/>
      <c r="J930" s="559"/>
      <c r="K930" s="559"/>
      <c r="L930" s="559"/>
      <c r="M930" s="559"/>
    </row>
    <row r="931" spans="3:13" x14ac:dyDescent="0.25">
      <c r="C931" s="557"/>
      <c r="D931" s="557"/>
      <c r="E931" s="557"/>
      <c r="F931" s="558"/>
      <c r="G931" s="558"/>
      <c r="H931" s="293"/>
      <c r="I931" s="559"/>
      <c r="J931" s="559"/>
      <c r="K931" s="559"/>
      <c r="L931" s="559"/>
      <c r="M931" s="559"/>
    </row>
    <row r="932" spans="3:13" x14ac:dyDescent="0.25">
      <c r="C932" s="557"/>
      <c r="D932" s="557"/>
      <c r="E932" s="557"/>
      <c r="F932" s="558"/>
      <c r="G932" s="558"/>
      <c r="H932" s="293"/>
      <c r="I932" s="559"/>
      <c r="J932" s="559"/>
      <c r="K932" s="559"/>
      <c r="L932" s="559"/>
      <c r="M932" s="559"/>
    </row>
    <row r="933" spans="3:13" x14ac:dyDescent="0.25">
      <c r="C933" s="557"/>
      <c r="D933" s="557"/>
      <c r="E933" s="557"/>
      <c r="F933" s="558"/>
      <c r="G933" s="558"/>
      <c r="H933" s="293"/>
      <c r="I933" s="559"/>
      <c r="J933" s="559"/>
      <c r="K933" s="559"/>
      <c r="L933" s="559"/>
      <c r="M933" s="559"/>
    </row>
    <row r="934" spans="3:13" x14ac:dyDescent="0.25">
      <c r="C934" s="557"/>
      <c r="D934" s="557"/>
      <c r="E934" s="557"/>
      <c r="F934" s="558"/>
      <c r="G934" s="558"/>
      <c r="H934" s="293"/>
      <c r="I934" s="559"/>
      <c r="J934" s="559"/>
      <c r="K934" s="559"/>
      <c r="L934" s="559"/>
      <c r="M934" s="559"/>
    </row>
    <row r="935" spans="3:13" x14ac:dyDescent="0.25">
      <c r="C935" s="557"/>
      <c r="D935" s="557"/>
      <c r="E935" s="557"/>
      <c r="F935" s="558"/>
      <c r="G935" s="558"/>
      <c r="H935" s="293"/>
      <c r="I935" s="559"/>
      <c r="J935" s="559"/>
      <c r="K935" s="559"/>
      <c r="L935" s="559"/>
      <c r="M935" s="559"/>
    </row>
    <row r="936" spans="3:13" x14ac:dyDescent="0.25">
      <c r="C936" s="557"/>
      <c r="D936" s="557"/>
      <c r="E936" s="557"/>
      <c r="F936" s="558"/>
      <c r="G936" s="558"/>
      <c r="H936" s="293"/>
      <c r="I936" s="559"/>
      <c r="J936" s="559"/>
      <c r="K936" s="559"/>
      <c r="L936" s="559"/>
      <c r="M936" s="559"/>
    </row>
    <row r="937" spans="3:13" x14ac:dyDescent="0.25">
      <c r="C937" s="557"/>
      <c r="D937" s="557"/>
      <c r="E937" s="557"/>
      <c r="F937" s="558"/>
      <c r="G937" s="558"/>
      <c r="H937" s="293"/>
      <c r="I937" s="559"/>
      <c r="J937" s="559"/>
      <c r="K937" s="559"/>
      <c r="L937" s="559"/>
      <c r="M937" s="559"/>
    </row>
    <row r="938" spans="3:13" x14ac:dyDescent="0.25">
      <c r="C938" s="557"/>
      <c r="D938" s="557"/>
      <c r="E938" s="557"/>
      <c r="F938" s="558"/>
      <c r="G938" s="558"/>
      <c r="H938" s="293"/>
      <c r="I938" s="559"/>
      <c r="J938" s="559"/>
      <c r="K938" s="559"/>
      <c r="L938" s="559"/>
      <c r="M938" s="559"/>
    </row>
    <row r="939" spans="3:13" x14ac:dyDescent="0.25">
      <c r="C939" s="557"/>
      <c r="D939" s="557"/>
      <c r="E939" s="557"/>
      <c r="F939" s="558"/>
      <c r="G939" s="558"/>
      <c r="H939" s="293"/>
      <c r="I939" s="559"/>
      <c r="J939" s="559"/>
      <c r="K939" s="559"/>
      <c r="L939" s="559"/>
      <c r="M939" s="559"/>
    </row>
    <row r="940" spans="3:13" x14ac:dyDescent="0.25">
      <c r="C940" s="557"/>
      <c r="D940" s="557"/>
      <c r="E940" s="557"/>
      <c r="F940" s="558"/>
      <c r="G940" s="558"/>
      <c r="H940" s="293"/>
      <c r="I940" s="559"/>
      <c r="J940" s="559"/>
      <c r="K940" s="559"/>
      <c r="L940" s="559"/>
      <c r="M940" s="559"/>
    </row>
    <row r="941" spans="3:13" x14ac:dyDescent="0.25">
      <c r="C941" s="557"/>
      <c r="D941" s="557"/>
      <c r="E941" s="557"/>
      <c r="F941" s="558"/>
      <c r="G941" s="558"/>
      <c r="H941" s="293"/>
      <c r="I941" s="559"/>
      <c r="J941" s="559"/>
      <c r="K941" s="559"/>
      <c r="L941" s="559"/>
      <c r="M941" s="559"/>
    </row>
    <row r="942" spans="3:13" x14ac:dyDescent="0.25">
      <c r="C942" s="557"/>
      <c r="D942" s="557"/>
      <c r="E942" s="557"/>
      <c r="F942" s="558"/>
      <c r="G942" s="558"/>
      <c r="H942" s="293"/>
      <c r="I942" s="559"/>
      <c r="J942" s="559"/>
      <c r="K942" s="559"/>
      <c r="L942" s="559"/>
      <c r="M942" s="559"/>
    </row>
    <row r="943" spans="3:13" x14ac:dyDescent="0.25">
      <c r="C943" s="557"/>
      <c r="D943" s="557"/>
      <c r="E943" s="557"/>
      <c r="F943" s="558"/>
      <c r="G943" s="558"/>
      <c r="H943" s="293"/>
      <c r="I943" s="559"/>
      <c r="J943" s="559"/>
      <c r="K943" s="559"/>
      <c r="L943" s="559"/>
      <c r="M943" s="559"/>
    </row>
    <row r="944" spans="3:13" x14ac:dyDescent="0.25">
      <c r="C944" s="557"/>
      <c r="D944" s="557"/>
      <c r="E944" s="557"/>
      <c r="F944" s="558"/>
      <c r="G944" s="558"/>
      <c r="H944" s="293"/>
      <c r="I944" s="559"/>
      <c r="J944" s="559"/>
      <c r="K944" s="559"/>
      <c r="L944" s="559"/>
      <c r="M944" s="559"/>
    </row>
    <row r="945" spans="3:13" x14ac:dyDescent="0.25">
      <c r="C945" s="557"/>
      <c r="D945" s="557"/>
      <c r="E945" s="557"/>
      <c r="F945" s="558"/>
      <c r="G945" s="558"/>
      <c r="H945" s="293"/>
      <c r="I945" s="559"/>
      <c r="J945" s="559"/>
      <c r="K945" s="559"/>
      <c r="L945" s="559"/>
      <c r="M945" s="559"/>
    </row>
    <row r="946" spans="3:13" x14ac:dyDescent="0.25">
      <c r="C946" s="557"/>
      <c r="D946" s="557"/>
      <c r="E946" s="557"/>
      <c r="F946" s="558"/>
      <c r="G946" s="558"/>
      <c r="H946" s="293"/>
      <c r="I946" s="559"/>
      <c r="J946" s="559"/>
      <c r="K946" s="559"/>
      <c r="L946" s="559"/>
      <c r="M946" s="559"/>
    </row>
    <row r="947" spans="3:13" x14ac:dyDescent="0.25">
      <c r="C947" s="557"/>
      <c r="D947" s="557"/>
      <c r="E947" s="557"/>
      <c r="F947" s="558"/>
      <c r="G947" s="558"/>
      <c r="H947" s="293"/>
      <c r="I947" s="559"/>
      <c r="J947" s="559"/>
      <c r="K947" s="559"/>
      <c r="L947" s="559"/>
      <c r="M947" s="559"/>
    </row>
    <row r="948" spans="3:13" x14ac:dyDescent="0.25">
      <c r="C948" s="557"/>
      <c r="D948" s="557"/>
      <c r="E948" s="557"/>
      <c r="F948" s="558"/>
      <c r="G948" s="558"/>
      <c r="H948" s="293"/>
      <c r="I948" s="559"/>
      <c r="J948" s="559"/>
      <c r="K948" s="559"/>
      <c r="L948" s="559"/>
      <c r="M948" s="559"/>
    </row>
    <row r="949" spans="3:13" x14ac:dyDescent="0.25">
      <c r="C949" s="557"/>
      <c r="D949" s="557"/>
      <c r="E949" s="557"/>
      <c r="F949" s="558"/>
      <c r="G949" s="558"/>
      <c r="H949" s="293"/>
      <c r="I949" s="559"/>
      <c r="J949" s="559"/>
      <c r="K949" s="559"/>
      <c r="L949" s="559"/>
      <c r="M949" s="559"/>
    </row>
    <row r="950" spans="3:13" x14ac:dyDescent="0.25">
      <c r="C950" s="557"/>
      <c r="D950" s="557"/>
      <c r="E950" s="557"/>
      <c r="F950" s="558"/>
      <c r="G950" s="558"/>
      <c r="H950" s="293"/>
      <c r="I950" s="559"/>
      <c r="J950" s="559"/>
      <c r="K950" s="559"/>
      <c r="L950" s="559"/>
      <c r="M950" s="559"/>
    </row>
    <row r="951" spans="3:13" x14ac:dyDescent="0.25">
      <c r="C951" s="557"/>
      <c r="D951" s="557"/>
      <c r="E951" s="557"/>
      <c r="F951" s="558"/>
      <c r="G951" s="558"/>
      <c r="H951" s="293"/>
      <c r="I951" s="559"/>
      <c r="J951" s="559"/>
      <c r="K951" s="559"/>
      <c r="L951" s="559"/>
      <c r="M951" s="559"/>
    </row>
    <row r="952" spans="3:13" x14ac:dyDescent="0.25">
      <c r="C952" s="557"/>
      <c r="D952" s="557"/>
      <c r="E952" s="557"/>
      <c r="F952" s="558"/>
      <c r="G952" s="558"/>
      <c r="H952" s="293"/>
      <c r="I952" s="559"/>
      <c r="J952" s="559"/>
      <c r="K952" s="559"/>
      <c r="L952" s="559"/>
      <c r="M952" s="559"/>
    </row>
    <row r="953" spans="3:13" x14ac:dyDescent="0.25">
      <c r="C953" s="557"/>
      <c r="D953" s="557"/>
      <c r="E953" s="557"/>
      <c r="F953" s="558"/>
      <c r="G953" s="558"/>
      <c r="H953" s="293"/>
      <c r="I953" s="559"/>
      <c r="J953" s="559"/>
      <c r="K953" s="559"/>
      <c r="L953" s="559"/>
      <c r="M953" s="559"/>
    </row>
    <row r="954" spans="3:13" x14ac:dyDescent="0.25">
      <c r="C954" s="557"/>
      <c r="D954" s="557"/>
      <c r="E954" s="557"/>
      <c r="F954" s="558"/>
      <c r="G954" s="558"/>
      <c r="H954" s="293"/>
      <c r="I954" s="559"/>
      <c r="J954" s="559"/>
      <c r="K954" s="559"/>
      <c r="L954" s="559"/>
      <c r="M954" s="559"/>
    </row>
    <row r="955" spans="3:13" x14ac:dyDescent="0.25">
      <c r="C955" s="557"/>
      <c r="D955" s="557"/>
      <c r="E955" s="557"/>
      <c r="F955" s="558"/>
      <c r="G955" s="558"/>
      <c r="H955" s="293"/>
      <c r="I955" s="559"/>
      <c r="J955" s="559"/>
      <c r="K955" s="559"/>
      <c r="L955" s="559"/>
      <c r="M955" s="559"/>
    </row>
    <row r="956" spans="3:13" x14ac:dyDescent="0.25">
      <c r="C956" s="557"/>
      <c r="D956" s="557"/>
      <c r="E956" s="557"/>
      <c r="F956" s="558"/>
      <c r="G956" s="558"/>
      <c r="H956" s="293"/>
      <c r="I956" s="559"/>
      <c r="J956" s="559"/>
      <c r="K956" s="559"/>
      <c r="L956" s="559"/>
      <c r="M956" s="559"/>
    </row>
    <row r="957" spans="3:13" x14ac:dyDescent="0.25">
      <c r="C957" s="557"/>
      <c r="D957" s="557"/>
      <c r="E957" s="557"/>
      <c r="F957" s="558"/>
      <c r="G957" s="558"/>
      <c r="H957" s="293"/>
      <c r="I957" s="559"/>
      <c r="J957" s="559"/>
      <c r="K957" s="559"/>
      <c r="L957" s="559"/>
      <c r="M957" s="559"/>
    </row>
    <row r="958" spans="3:13" x14ac:dyDescent="0.25">
      <c r="C958" s="557"/>
      <c r="D958" s="557"/>
      <c r="E958" s="557"/>
      <c r="F958" s="558"/>
      <c r="G958" s="558"/>
      <c r="H958" s="293"/>
      <c r="I958" s="559"/>
      <c r="J958" s="559"/>
      <c r="K958" s="559"/>
      <c r="L958" s="559"/>
      <c r="M958" s="559"/>
    </row>
    <row r="959" spans="3:13" x14ac:dyDescent="0.25">
      <c r="C959" s="557"/>
      <c r="D959" s="557"/>
      <c r="E959" s="557"/>
      <c r="F959" s="558"/>
      <c r="G959" s="558"/>
      <c r="H959" s="293"/>
      <c r="I959" s="559"/>
      <c r="J959" s="559"/>
      <c r="K959" s="559"/>
      <c r="L959" s="559"/>
      <c r="M959" s="559"/>
    </row>
    <row r="960" spans="3:13" x14ac:dyDescent="0.25">
      <c r="C960" s="557"/>
      <c r="D960" s="557"/>
      <c r="E960" s="557"/>
      <c r="F960" s="558"/>
      <c r="G960" s="558"/>
      <c r="H960" s="293"/>
      <c r="I960" s="559"/>
      <c r="J960" s="559"/>
      <c r="K960" s="559"/>
      <c r="L960" s="559"/>
      <c r="M960" s="559"/>
    </row>
    <row r="961" spans="3:13" x14ac:dyDescent="0.25">
      <c r="C961" s="557"/>
      <c r="D961" s="557"/>
      <c r="E961" s="557"/>
      <c r="F961" s="558"/>
      <c r="G961" s="558"/>
      <c r="H961" s="293"/>
      <c r="I961" s="559"/>
      <c r="J961" s="559"/>
      <c r="K961" s="559"/>
      <c r="L961" s="559"/>
      <c r="M961" s="559"/>
    </row>
    <row r="962" spans="3:13" x14ac:dyDescent="0.25">
      <c r="C962" s="557"/>
      <c r="D962" s="557"/>
      <c r="E962" s="557"/>
      <c r="F962" s="558"/>
      <c r="G962" s="558"/>
      <c r="H962" s="293"/>
      <c r="I962" s="559"/>
      <c r="J962" s="559"/>
      <c r="K962" s="559"/>
      <c r="L962" s="559"/>
      <c r="M962" s="559"/>
    </row>
    <row r="963" spans="3:13" x14ac:dyDescent="0.25">
      <c r="C963" s="557"/>
      <c r="D963" s="557"/>
      <c r="E963" s="557"/>
      <c r="F963" s="558"/>
      <c r="G963" s="558"/>
      <c r="H963" s="293"/>
      <c r="I963" s="559"/>
      <c r="J963" s="559"/>
      <c r="K963" s="559"/>
      <c r="L963" s="559"/>
      <c r="M963" s="559"/>
    </row>
    <row r="964" spans="3:13" x14ac:dyDescent="0.25">
      <c r="C964" s="557"/>
      <c r="D964" s="557"/>
      <c r="E964" s="557"/>
      <c r="F964" s="558"/>
      <c r="G964" s="558"/>
      <c r="H964" s="293"/>
      <c r="I964" s="559"/>
      <c r="J964" s="559"/>
      <c r="K964" s="559"/>
      <c r="L964" s="559"/>
      <c r="M964" s="559"/>
    </row>
    <row r="965" spans="3:13" x14ac:dyDescent="0.25">
      <c r="C965" s="557"/>
      <c r="D965" s="557"/>
      <c r="E965" s="557"/>
      <c r="F965" s="558"/>
      <c r="G965" s="558"/>
      <c r="H965" s="293"/>
      <c r="I965" s="559"/>
      <c r="J965" s="559"/>
      <c r="K965" s="559"/>
      <c r="L965" s="559"/>
      <c r="M965" s="559"/>
    </row>
    <row r="966" spans="3:13" x14ac:dyDescent="0.25">
      <c r="C966" s="557"/>
      <c r="D966" s="557"/>
      <c r="E966" s="557"/>
      <c r="F966" s="558"/>
      <c r="G966" s="558"/>
      <c r="H966" s="293"/>
      <c r="I966" s="559"/>
      <c r="J966" s="559"/>
      <c r="K966" s="559"/>
      <c r="L966" s="559"/>
      <c r="M966" s="559"/>
    </row>
    <row r="967" spans="3:13" x14ac:dyDescent="0.25">
      <c r="C967" s="557"/>
      <c r="D967" s="557"/>
      <c r="E967" s="557"/>
      <c r="F967" s="558"/>
      <c r="G967" s="558"/>
      <c r="H967" s="293"/>
      <c r="I967" s="559"/>
      <c r="J967" s="559"/>
      <c r="K967" s="559"/>
      <c r="L967" s="559"/>
      <c r="M967" s="559"/>
    </row>
    <row r="968" spans="3:13" x14ac:dyDescent="0.25">
      <c r="C968" s="557"/>
      <c r="D968" s="557"/>
      <c r="E968" s="557"/>
      <c r="F968" s="558"/>
      <c r="G968" s="558"/>
      <c r="H968" s="293"/>
      <c r="I968" s="559"/>
      <c r="J968" s="559"/>
      <c r="K968" s="559"/>
      <c r="L968" s="559"/>
      <c r="M968" s="559"/>
    </row>
    <row r="969" spans="3:13" x14ac:dyDescent="0.25">
      <c r="C969" s="557"/>
      <c r="D969" s="557"/>
      <c r="E969" s="557"/>
      <c r="F969" s="558"/>
      <c r="G969" s="558"/>
      <c r="H969" s="293"/>
      <c r="I969" s="559"/>
      <c r="J969" s="559"/>
      <c r="K969" s="559"/>
      <c r="L969" s="559"/>
      <c r="M969" s="559"/>
    </row>
    <row r="970" spans="3:13" x14ac:dyDescent="0.25">
      <c r="C970" s="557"/>
      <c r="D970" s="557"/>
      <c r="E970" s="557"/>
      <c r="F970" s="558"/>
      <c r="G970" s="558"/>
      <c r="H970" s="293"/>
      <c r="I970" s="559"/>
      <c r="J970" s="559"/>
      <c r="K970" s="559"/>
      <c r="L970" s="559"/>
      <c r="M970" s="559"/>
    </row>
    <row r="971" spans="3:13" x14ac:dyDescent="0.25">
      <c r="C971" s="557"/>
      <c r="D971" s="557"/>
      <c r="E971" s="557"/>
      <c r="F971" s="558"/>
      <c r="G971" s="558"/>
      <c r="H971" s="293"/>
      <c r="I971" s="559"/>
      <c r="J971" s="559"/>
      <c r="K971" s="559"/>
      <c r="L971" s="559"/>
      <c r="M971" s="559"/>
    </row>
    <row r="972" spans="3:13" x14ac:dyDescent="0.25">
      <c r="C972" s="557"/>
      <c r="D972" s="557"/>
      <c r="E972" s="557"/>
      <c r="F972" s="558"/>
      <c r="G972" s="558"/>
      <c r="H972" s="293"/>
      <c r="I972" s="559"/>
      <c r="J972" s="559"/>
      <c r="K972" s="559"/>
      <c r="L972" s="559"/>
      <c r="M972" s="559"/>
    </row>
    <row r="973" spans="3:13" x14ac:dyDescent="0.25">
      <c r="C973" s="557"/>
      <c r="D973" s="557"/>
      <c r="E973" s="557"/>
      <c r="F973" s="558"/>
      <c r="G973" s="558"/>
      <c r="H973" s="293"/>
      <c r="I973" s="559"/>
      <c r="J973" s="559"/>
      <c r="K973" s="559"/>
      <c r="L973" s="559"/>
      <c r="M973" s="559"/>
    </row>
    <row r="974" spans="3:13" x14ac:dyDescent="0.25">
      <c r="C974" s="557"/>
      <c r="D974" s="557"/>
      <c r="E974" s="557"/>
      <c r="F974" s="558"/>
      <c r="G974" s="558"/>
      <c r="H974" s="293"/>
      <c r="I974" s="559"/>
      <c r="J974" s="559"/>
      <c r="K974" s="559"/>
      <c r="L974" s="559"/>
      <c r="M974" s="559"/>
    </row>
    <row r="975" spans="3:13" x14ac:dyDescent="0.25">
      <c r="C975" s="557"/>
      <c r="D975" s="557"/>
      <c r="E975" s="557"/>
      <c r="F975" s="558"/>
      <c r="G975" s="558"/>
      <c r="H975" s="293"/>
      <c r="I975" s="559"/>
      <c r="J975" s="559"/>
      <c r="K975" s="559"/>
      <c r="L975" s="559"/>
      <c r="M975" s="559"/>
    </row>
    <row r="976" spans="3:13" x14ac:dyDescent="0.25">
      <c r="C976" s="557"/>
      <c r="D976" s="557"/>
      <c r="E976" s="557"/>
      <c r="F976" s="558"/>
      <c r="G976" s="558"/>
      <c r="H976" s="293"/>
      <c r="I976" s="559"/>
      <c r="J976" s="559"/>
      <c r="K976" s="559"/>
      <c r="L976" s="559"/>
      <c r="M976" s="559"/>
    </row>
    <row r="977" spans="3:13" x14ac:dyDescent="0.25">
      <c r="C977" s="557"/>
      <c r="D977" s="557"/>
      <c r="E977" s="557"/>
      <c r="F977" s="558"/>
      <c r="G977" s="558"/>
      <c r="H977" s="293"/>
      <c r="I977" s="559"/>
      <c r="J977" s="559"/>
      <c r="K977" s="559"/>
      <c r="L977" s="559"/>
      <c r="M977" s="559"/>
    </row>
    <row r="978" spans="3:13" x14ac:dyDescent="0.25">
      <c r="C978" s="557"/>
      <c r="D978" s="557"/>
      <c r="E978" s="557"/>
      <c r="F978" s="558"/>
      <c r="G978" s="558"/>
      <c r="H978" s="293"/>
      <c r="I978" s="559"/>
      <c r="J978" s="559"/>
      <c r="K978" s="559"/>
      <c r="L978" s="559"/>
      <c r="M978" s="559"/>
    </row>
    <row r="979" spans="3:13" x14ac:dyDescent="0.25">
      <c r="C979" s="557"/>
      <c r="D979" s="557"/>
      <c r="E979" s="557"/>
      <c r="F979" s="558"/>
      <c r="G979" s="558"/>
      <c r="H979" s="293"/>
      <c r="I979" s="559"/>
      <c r="J979" s="559"/>
      <c r="K979" s="559"/>
      <c r="L979" s="559"/>
      <c r="M979" s="559"/>
    </row>
    <row r="980" spans="3:13" x14ac:dyDescent="0.25">
      <c r="C980" s="557"/>
      <c r="D980" s="557"/>
      <c r="E980" s="557"/>
      <c r="F980" s="558"/>
      <c r="G980" s="558"/>
      <c r="H980" s="293"/>
      <c r="I980" s="559"/>
      <c r="J980" s="559"/>
      <c r="K980" s="559"/>
      <c r="L980" s="559"/>
      <c r="M980" s="559"/>
    </row>
    <row r="981" spans="3:13" x14ac:dyDescent="0.25">
      <c r="C981" s="557"/>
      <c r="D981" s="557"/>
      <c r="E981" s="557"/>
      <c r="F981" s="558"/>
      <c r="G981" s="558"/>
      <c r="H981" s="293"/>
      <c r="I981" s="559"/>
      <c r="J981" s="559"/>
      <c r="K981" s="559"/>
      <c r="L981" s="559"/>
      <c r="M981" s="559"/>
    </row>
    <row r="982" spans="3:13" x14ac:dyDescent="0.25">
      <c r="C982" s="557"/>
      <c r="D982" s="557"/>
      <c r="E982" s="557"/>
      <c r="F982" s="558"/>
      <c r="G982" s="558"/>
      <c r="H982" s="293"/>
      <c r="I982" s="559"/>
      <c r="J982" s="559"/>
      <c r="K982" s="559"/>
      <c r="L982" s="559"/>
      <c r="M982" s="559"/>
    </row>
    <row r="983" spans="3:13" x14ac:dyDescent="0.25">
      <c r="C983" s="557"/>
      <c r="D983" s="557"/>
      <c r="E983" s="557"/>
      <c r="F983" s="558"/>
      <c r="G983" s="558"/>
      <c r="H983" s="293"/>
      <c r="I983" s="559"/>
      <c r="J983" s="559"/>
      <c r="K983" s="559"/>
      <c r="L983" s="559"/>
      <c r="M983" s="559"/>
    </row>
    <row r="984" spans="3:13" x14ac:dyDescent="0.25">
      <c r="C984" s="557"/>
      <c r="D984" s="557"/>
      <c r="E984" s="557"/>
      <c r="F984" s="558"/>
      <c r="G984" s="558"/>
      <c r="H984" s="293"/>
      <c r="I984" s="559"/>
      <c r="J984" s="559"/>
      <c r="K984" s="559"/>
      <c r="L984" s="559"/>
      <c r="M984" s="559"/>
    </row>
    <row r="985" spans="3:13" x14ac:dyDescent="0.25">
      <c r="C985" s="557"/>
      <c r="D985" s="557"/>
      <c r="E985" s="557"/>
      <c r="F985" s="558"/>
      <c r="G985" s="558"/>
      <c r="H985" s="293"/>
      <c r="I985" s="559"/>
      <c r="J985" s="559"/>
      <c r="K985" s="559"/>
      <c r="L985" s="559"/>
      <c r="M985" s="559"/>
    </row>
    <row r="986" spans="3:13" x14ac:dyDescent="0.25">
      <c r="C986" s="557"/>
      <c r="D986" s="557"/>
      <c r="E986" s="557"/>
      <c r="F986" s="558"/>
      <c r="G986" s="558"/>
      <c r="H986" s="293"/>
      <c r="I986" s="559"/>
      <c r="J986" s="559"/>
      <c r="K986" s="559"/>
      <c r="L986" s="559"/>
      <c r="M986" s="559"/>
    </row>
    <row r="987" spans="3:13" x14ac:dyDescent="0.25">
      <c r="C987" s="557"/>
      <c r="D987" s="557"/>
      <c r="E987" s="557"/>
      <c r="F987" s="558"/>
      <c r="G987" s="558"/>
      <c r="H987" s="293"/>
      <c r="I987" s="559"/>
      <c r="J987" s="559"/>
      <c r="K987" s="559"/>
      <c r="L987" s="559"/>
      <c r="M987" s="559"/>
    </row>
    <row r="988" spans="3:13" x14ac:dyDescent="0.25">
      <c r="C988" s="557"/>
      <c r="D988" s="557"/>
      <c r="E988" s="557"/>
      <c r="F988" s="558"/>
      <c r="G988" s="558"/>
      <c r="H988" s="293"/>
      <c r="I988" s="559"/>
      <c r="J988" s="559"/>
      <c r="K988" s="559"/>
      <c r="L988" s="559"/>
      <c r="M988" s="559"/>
    </row>
    <row r="989" spans="3:13" x14ac:dyDescent="0.25">
      <c r="C989" s="557"/>
      <c r="D989" s="557"/>
      <c r="E989" s="557"/>
      <c r="F989" s="558"/>
      <c r="G989" s="558"/>
      <c r="H989" s="293"/>
      <c r="I989" s="559"/>
      <c r="J989" s="559"/>
      <c r="K989" s="559"/>
      <c r="L989" s="559"/>
      <c r="M989" s="559"/>
    </row>
    <row r="990" spans="3:13" x14ac:dyDescent="0.25">
      <c r="C990" s="557"/>
      <c r="D990" s="557"/>
      <c r="E990" s="557"/>
      <c r="F990" s="558"/>
      <c r="G990" s="558"/>
      <c r="H990" s="293"/>
      <c r="I990" s="559"/>
      <c r="J990" s="559"/>
      <c r="K990" s="559"/>
      <c r="L990" s="559"/>
      <c r="M990" s="559"/>
    </row>
    <row r="991" spans="3:13" x14ac:dyDescent="0.25">
      <c r="C991" s="557"/>
      <c r="D991" s="557"/>
      <c r="E991" s="557"/>
      <c r="F991" s="558"/>
      <c r="G991" s="558"/>
      <c r="H991" s="293"/>
      <c r="I991" s="559"/>
      <c r="J991" s="559"/>
      <c r="K991" s="559"/>
      <c r="L991" s="559"/>
      <c r="M991" s="559"/>
    </row>
    <row r="992" spans="3:13" x14ac:dyDescent="0.25">
      <c r="C992" s="557"/>
      <c r="D992" s="557"/>
      <c r="E992" s="557"/>
      <c r="F992" s="558"/>
      <c r="G992" s="558"/>
      <c r="H992" s="293"/>
      <c r="I992" s="559"/>
      <c r="J992" s="559"/>
      <c r="K992" s="559"/>
      <c r="L992" s="559"/>
      <c r="M992" s="559"/>
    </row>
    <row r="993" spans="3:13" x14ac:dyDescent="0.25">
      <c r="C993" s="557"/>
      <c r="D993" s="557"/>
      <c r="E993" s="557"/>
      <c r="F993" s="558"/>
      <c r="G993" s="558"/>
      <c r="H993" s="293"/>
      <c r="I993" s="559"/>
      <c r="J993" s="559"/>
      <c r="K993" s="559"/>
      <c r="L993" s="559"/>
      <c r="M993" s="559"/>
    </row>
    <row r="994" spans="3:13" x14ac:dyDescent="0.25">
      <c r="C994" s="557"/>
      <c r="D994" s="557"/>
      <c r="E994" s="557"/>
      <c r="F994" s="558"/>
      <c r="G994" s="558"/>
      <c r="H994" s="293"/>
      <c r="I994" s="559"/>
      <c r="J994" s="559"/>
      <c r="K994" s="559"/>
      <c r="L994" s="559"/>
      <c r="M994" s="559"/>
    </row>
    <row r="995" spans="3:13" x14ac:dyDescent="0.25">
      <c r="C995" s="557"/>
      <c r="D995" s="557"/>
      <c r="E995" s="557"/>
      <c r="F995" s="558"/>
      <c r="G995" s="558"/>
      <c r="H995" s="293"/>
      <c r="I995" s="559"/>
      <c r="J995" s="559"/>
      <c r="K995" s="559"/>
      <c r="L995" s="559"/>
      <c r="M995" s="559"/>
    </row>
    <row r="996" spans="3:13" x14ac:dyDescent="0.25">
      <c r="C996" s="557"/>
      <c r="D996" s="557"/>
      <c r="E996" s="557"/>
      <c r="F996" s="558"/>
      <c r="G996" s="558"/>
      <c r="H996" s="293"/>
      <c r="I996" s="559"/>
      <c r="J996" s="559"/>
      <c r="K996" s="559"/>
      <c r="L996" s="559"/>
      <c r="M996" s="559"/>
    </row>
    <row r="997" spans="3:13" x14ac:dyDescent="0.25">
      <c r="C997" s="557"/>
      <c r="D997" s="557"/>
      <c r="E997" s="557"/>
      <c r="F997" s="558"/>
      <c r="G997" s="558"/>
      <c r="H997" s="293"/>
      <c r="I997" s="559"/>
      <c r="J997" s="559"/>
      <c r="K997" s="559"/>
      <c r="L997" s="559"/>
      <c r="M997" s="559"/>
    </row>
    <row r="998" spans="3:13" x14ac:dyDescent="0.25">
      <c r="C998" s="557"/>
      <c r="D998" s="557"/>
      <c r="E998" s="557"/>
      <c r="F998" s="558"/>
      <c r="G998" s="558"/>
      <c r="H998" s="293"/>
      <c r="I998" s="559"/>
      <c r="J998" s="559"/>
      <c r="K998" s="559"/>
      <c r="L998" s="559"/>
      <c r="M998" s="559"/>
    </row>
    <row r="999" spans="3:13" x14ac:dyDescent="0.25">
      <c r="C999" s="557"/>
      <c r="D999" s="557"/>
      <c r="E999" s="557"/>
      <c r="F999" s="558"/>
      <c r="G999" s="558"/>
      <c r="H999" s="293"/>
      <c r="I999" s="559"/>
      <c r="J999" s="559"/>
      <c r="K999" s="559"/>
      <c r="L999" s="559"/>
      <c r="M999" s="559"/>
    </row>
    <row r="1000" spans="3:13" x14ac:dyDescent="0.25">
      <c r="C1000" s="557"/>
      <c r="D1000" s="557"/>
      <c r="E1000" s="557"/>
      <c r="F1000" s="558"/>
      <c r="G1000" s="558"/>
      <c r="H1000" s="293"/>
      <c r="I1000" s="559"/>
      <c r="J1000" s="559"/>
      <c r="K1000" s="559"/>
      <c r="L1000" s="559"/>
      <c r="M1000" s="559"/>
    </row>
    <row r="1001" spans="3:13" x14ac:dyDescent="0.25">
      <c r="C1001" s="557"/>
      <c r="D1001" s="557"/>
      <c r="E1001" s="557"/>
      <c r="F1001" s="558"/>
      <c r="G1001" s="558"/>
      <c r="H1001" s="293"/>
      <c r="I1001" s="559"/>
      <c r="J1001" s="559"/>
      <c r="K1001" s="559"/>
      <c r="L1001" s="559"/>
      <c r="M1001" s="559"/>
    </row>
    <row r="1002" spans="3:13" x14ac:dyDescent="0.25">
      <c r="C1002" s="557"/>
      <c r="D1002" s="557"/>
      <c r="E1002" s="557"/>
      <c r="F1002" s="558"/>
      <c r="G1002" s="558"/>
      <c r="H1002" s="293"/>
      <c r="I1002" s="559"/>
      <c r="J1002" s="559"/>
      <c r="K1002" s="559"/>
      <c r="L1002" s="559"/>
      <c r="M1002" s="559"/>
    </row>
    <row r="1003" spans="3:13" x14ac:dyDescent="0.25">
      <c r="C1003" s="557"/>
      <c r="D1003" s="557"/>
      <c r="E1003" s="557"/>
      <c r="F1003" s="558"/>
      <c r="G1003" s="558"/>
      <c r="H1003" s="293"/>
      <c r="I1003" s="559"/>
      <c r="J1003" s="559"/>
      <c r="K1003" s="559"/>
      <c r="L1003" s="559"/>
      <c r="M1003" s="559"/>
    </row>
    <row r="1004" spans="3:13" x14ac:dyDescent="0.25">
      <c r="C1004" s="557"/>
      <c r="D1004" s="557"/>
      <c r="E1004" s="557"/>
      <c r="F1004" s="558"/>
      <c r="G1004" s="558"/>
      <c r="H1004" s="293"/>
      <c r="I1004" s="559"/>
      <c r="J1004" s="559"/>
      <c r="K1004" s="559"/>
      <c r="L1004" s="559"/>
      <c r="M1004" s="559"/>
    </row>
    <row r="1005" spans="3:13" x14ac:dyDescent="0.25">
      <c r="C1005" s="557"/>
      <c r="D1005" s="557"/>
      <c r="E1005" s="557"/>
      <c r="F1005" s="558"/>
      <c r="G1005" s="558"/>
      <c r="H1005" s="293"/>
      <c r="I1005" s="559"/>
      <c r="J1005" s="559"/>
      <c r="K1005" s="559"/>
      <c r="L1005" s="559"/>
      <c r="M1005" s="559"/>
    </row>
    <row r="1006" spans="3:13" x14ac:dyDescent="0.25">
      <c r="C1006" s="557"/>
      <c r="D1006" s="557"/>
      <c r="E1006" s="557"/>
      <c r="F1006" s="558"/>
      <c r="G1006" s="558"/>
      <c r="H1006" s="293"/>
      <c r="I1006" s="559"/>
      <c r="J1006" s="559"/>
      <c r="K1006" s="559"/>
      <c r="L1006" s="559"/>
      <c r="M1006" s="559"/>
    </row>
    <row r="1007" spans="3:13" x14ac:dyDescent="0.25">
      <c r="C1007" s="557"/>
      <c r="D1007" s="557"/>
      <c r="E1007" s="557"/>
      <c r="F1007" s="558"/>
      <c r="G1007" s="558"/>
      <c r="H1007" s="293"/>
      <c r="I1007" s="559"/>
      <c r="J1007" s="559"/>
      <c r="K1007" s="559"/>
      <c r="L1007" s="559"/>
      <c r="M1007" s="559"/>
    </row>
    <row r="1008" spans="3:13" x14ac:dyDescent="0.25">
      <c r="C1008" s="557"/>
      <c r="D1008" s="557"/>
      <c r="E1008" s="557"/>
      <c r="F1008" s="558"/>
      <c r="G1008" s="558"/>
      <c r="H1008" s="293"/>
      <c r="I1008" s="559"/>
      <c r="J1008" s="559"/>
      <c r="K1008" s="559"/>
      <c r="L1008" s="559"/>
      <c r="M1008" s="559"/>
    </row>
    <row r="1009" spans="3:13" x14ac:dyDescent="0.25">
      <c r="C1009" s="557"/>
      <c r="D1009" s="557"/>
      <c r="E1009" s="557"/>
      <c r="F1009" s="558"/>
      <c r="G1009" s="558"/>
      <c r="H1009" s="293"/>
      <c r="I1009" s="559"/>
      <c r="J1009" s="559"/>
      <c r="K1009" s="559"/>
      <c r="L1009" s="559"/>
      <c r="M1009" s="559"/>
    </row>
    <row r="1010" spans="3:13" x14ac:dyDescent="0.25">
      <c r="C1010" s="557"/>
      <c r="D1010" s="557"/>
      <c r="E1010" s="557"/>
      <c r="F1010" s="558"/>
      <c r="G1010" s="558"/>
      <c r="H1010" s="293"/>
      <c r="I1010" s="559"/>
      <c r="J1010" s="559"/>
      <c r="K1010" s="559"/>
      <c r="L1010" s="559"/>
      <c r="M1010" s="559"/>
    </row>
    <row r="1011" spans="3:13" x14ac:dyDescent="0.25">
      <c r="C1011" s="557"/>
      <c r="D1011" s="557"/>
      <c r="E1011" s="557"/>
      <c r="F1011" s="558"/>
      <c r="G1011" s="558"/>
      <c r="H1011" s="293"/>
      <c r="I1011" s="559"/>
      <c r="J1011" s="559"/>
      <c r="K1011" s="559"/>
      <c r="L1011" s="559"/>
      <c r="M1011" s="559"/>
    </row>
    <row r="1012" spans="3:13" x14ac:dyDescent="0.25">
      <c r="C1012" s="557"/>
      <c r="D1012" s="557"/>
      <c r="E1012" s="557"/>
      <c r="F1012" s="558"/>
      <c r="G1012" s="558"/>
      <c r="H1012" s="293"/>
      <c r="I1012" s="559"/>
      <c r="J1012" s="559"/>
      <c r="K1012" s="559"/>
      <c r="L1012" s="559"/>
      <c r="M1012" s="559"/>
    </row>
    <row r="1013" spans="3:13" x14ac:dyDescent="0.25">
      <c r="C1013" s="557"/>
      <c r="D1013" s="557"/>
      <c r="E1013" s="557"/>
      <c r="F1013" s="558"/>
      <c r="G1013" s="558"/>
      <c r="H1013" s="293"/>
      <c r="I1013" s="559"/>
      <c r="J1013" s="559"/>
      <c r="K1013" s="559"/>
      <c r="L1013" s="559"/>
      <c r="M1013" s="559"/>
    </row>
    <row r="1014" spans="3:13" x14ac:dyDescent="0.25">
      <c r="C1014" s="557"/>
      <c r="D1014" s="557"/>
      <c r="E1014" s="557"/>
      <c r="F1014" s="558"/>
      <c r="G1014" s="558"/>
      <c r="H1014" s="293"/>
      <c r="I1014" s="559"/>
      <c r="J1014" s="559"/>
      <c r="K1014" s="559"/>
      <c r="L1014" s="559"/>
      <c r="M1014" s="559"/>
    </row>
    <row r="1015" spans="3:13" x14ac:dyDescent="0.25">
      <c r="C1015" s="557"/>
      <c r="D1015" s="557"/>
      <c r="E1015" s="557"/>
      <c r="F1015" s="558"/>
      <c r="G1015" s="558"/>
      <c r="H1015" s="293"/>
      <c r="I1015" s="559"/>
      <c r="J1015" s="559"/>
      <c r="K1015" s="559"/>
      <c r="L1015" s="559"/>
      <c r="M1015" s="559"/>
    </row>
    <row r="1016" spans="3:13" x14ac:dyDescent="0.25">
      <c r="C1016" s="557"/>
      <c r="D1016" s="557"/>
      <c r="E1016" s="557"/>
      <c r="F1016" s="558"/>
      <c r="G1016" s="558"/>
      <c r="H1016" s="293"/>
      <c r="I1016" s="559"/>
      <c r="J1016" s="559"/>
      <c r="K1016" s="559"/>
      <c r="L1016" s="559"/>
      <c r="M1016" s="559"/>
    </row>
    <row r="1017" spans="3:13" x14ac:dyDescent="0.25">
      <c r="C1017" s="557"/>
      <c r="D1017" s="557"/>
      <c r="E1017" s="557"/>
      <c r="F1017" s="558"/>
      <c r="G1017" s="558"/>
      <c r="H1017" s="293"/>
      <c r="I1017" s="559"/>
      <c r="J1017" s="559"/>
      <c r="K1017" s="559"/>
      <c r="L1017" s="559"/>
      <c r="M1017" s="559"/>
    </row>
    <row r="1018" spans="3:13" x14ac:dyDescent="0.25">
      <c r="C1018" s="557"/>
      <c r="D1018" s="557"/>
      <c r="E1018" s="557"/>
      <c r="F1018" s="558"/>
      <c r="G1018" s="558"/>
      <c r="H1018" s="293"/>
      <c r="I1018" s="559"/>
      <c r="J1018" s="559"/>
      <c r="K1018" s="559"/>
      <c r="L1018" s="559"/>
      <c r="M1018" s="559"/>
    </row>
    <row r="1019" spans="3:13" x14ac:dyDescent="0.25">
      <c r="C1019" s="557"/>
      <c r="D1019" s="557"/>
      <c r="E1019" s="557"/>
      <c r="F1019" s="558"/>
      <c r="G1019" s="558"/>
      <c r="H1019" s="293"/>
      <c r="I1019" s="559"/>
      <c r="J1019" s="559"/>
      <c r="K1019" s="559"/>
      <c r="L1019" s="559"/>
      <c r="M1019" s="559"/>
    </row>
    <row r="1020" spans="3:13" x14ac:dyDescent="0.25">
      <c r="C1020" s="557"/>
      <c r="D1020" s="557"/>
      <c r="E1020" s="557"/>
      <c r="F1020" s="558"/>
      <c r="G1020" s="558"/>
      <c r="H1020" s="293"/>
      <c r="I1020" s="559"/>
      <c r="J1020" s="559"/>
      <c r="K1020" s="559"/>
      <c r="L1020" s="559"/>
      <c r="M1020" s="559"/>
    </row>
    <row r="1021" spans="3:13" x14ac:dyDescent="0.25">
      <c r="C1021" s="557"/>
      <c r="D1021" s="557"/>
      <c r="E1021" s="557"/>
      <c r="F1021" s="558"/>
      <c r="G1021" s="558"/>
      <c r="H1021" s="293"/>
      <c r="I1021" s="559"/>
      <c r="J1021" s="559"/>
      <c r="K1021" s="559"/>
      <c r="L1021" s="559"/>
      <c r="M1021" s="559"/>
    </row>
    <row r="1022" spans="3:13" x14ac:dyDescent="0.25">
      <c r="C1022" s="557"/>
      <c r="D1022" s="557"/>
      <c r="E1022" s="557"/>
      <c r="F1022" s="558"/>
      <c r="G1022" s="558"/>
      <c r="H1022" s="293"/>
      <c r="I1022" s="559"/>
      <c r="J1022" s="559"/>
      <c r="K1022" s="559"/>
      <c r="L1022" s="559"/>
      <c r="M1022" s="559"/>
    </row>
    <row r="1023" spans="3:13" x14ac:dyDescent="0.25">
      <c r="C1023" s="557"/>
      <c r="D1023" s="557"/>
      <c r="E1023" s="557"/>
      <c r="F1023" s="558"/>
      <c r="G1023" s="558"/>
      <c r="H1023" s="293"/>
      <c r="I1023" s="559"/>
      <c r="J1023" s="559"/>
      <c r="K1023" s="559"/>
      <c r="L1023" s="559"/>
      <c r="M1023" s="559"/>
    </row>
    <row r="1024" spans="3:13" x14ac:dyDescent="0.25">
      <c r="C1024" s="557"/>
      <c r="D1024" s="557"/>
      <c r="E1024" s="557"/>
      <c r="F1024" s="558"/>
      <c r="G1024" s="558"/>
      <c r="H1024" s="293"/>
      <c r="I1024" s="559"/>
      <c r="J1024" s="559"/>
      <c r="K1024" s="559"/>
      <c r="L1024" s="559"/>
      <c r="M1024" s="559"/>
    </row>
    <row r="1025" spans="3:13" x14ac:dyDescent="0.25">
      <c r="C1025" s="557"/>
      <c r="D1025" s="557"/>
      <c r="E1025" s="557"/>
      <c r="F1025" s="558"/>
      <c r="G1025" s="558"/>
      <c r="H1025" s="293"/>
      <c r="I1025" s="559"/>
      <c r="J1025" s="559"/>
      <c r="K1025" s="559"/>
      <c r="L1025" s="559"/>
      <c r="M1025" s="559"/>
    </row>
    <row r="1026" spans="3:13" x14ac:dyDescent="0.25">
      <c r="C1026" s="557"/>
      <c r="D1026" s="557"/>
      <c r="E1026" s="557"/>
      <c r="F1026" s="558"/>
      <c r="G1026" s="558"/>
      <c r="H1026" s="293"/>
      <c r="I1026" s="559"/>
      <c r="J1026" s="559"/>
      <c r="K1026" s="559"/>
      <c r="L1026" s="559"/>
      <c r="M1026" s="559"/>
    </row>
    <row r="1027" spans="3:13" x14ac:dyDescent="0.25">
      <c r="C1027" s="557"/>
      <c r="D1027" s="557"/>
      <c r="E1027" s="557"/>
      <c r="F1027" s="558"/>
      <c r="G1027" s="558"/>
      <c r="H1027" s="293"/>
      <c r="I1027" s="559"/>
      <c r="J1027" s="559"/>
      <c r="K1027" s="559"/>
      <c r="L1027" s="559"/>
      <c r="M1027" s="559"/>
    </row>
    <row r="1028" spans="3:13" x14ac:dyDescent="0.25">
      <c r="C1028" s="557"/>
      <c r="D1028" s="557"/>
      <c r="E1028" s="557"/>
      <c r="F1028" s="558"/>
      <c r="G1028" s="558"/>
      <c r="H1028" s="293"/>
      <c r="I1028" s="559"/>
      <c r="J1028" s="559"/>
      <c r="K1028" s="559"/>
      <c r="L1028" s="559"/>
      <c r="M1028" s="559"/>
    </row>
    <row r="1029" spans="3:13" x14ac:dyDescent="0.25">
      <c r="C1029" s="557"/>
      <c r="D1029" s="557"/>
      <c r="E1029" s="557"/>
      <c r="F1029" s="558"/>
      <c r="G1029" s="558"/>
      <c r="H1029" s="293"/>
      <c r="I1029" s="559"/>
      <c r="J1029" s="559"/>
      <c r="K1029" s="559"/>
      <c r="L1029" s="559"/>
      <c r="M1029" s="559"/>
    </row>
    <row r="1030" spans="3:13" x14ac:dyDescent="0.25">
      <c r="C1030" s="557"/>
      <c r="D1030" s="557"/>
      <c r="E1030" s="557"/>
      <c r="F1030" s="558"/>
      <c r="G1030" s="558"/>
      <c r="H1030" s="293"/>
      <c r="I1030" s="559"/>
      <c r="J1030" s="559"/>
      <c r="K1030" s="559"/>
      <c r="L1030" s="559"/>
      <c r="M1030" s="559"/>
    </row>
    <row r="1031" spans="3:13" x14ac:dyDescent="0.25">
      <c r="C1031" s="557"/>
      <c r="D1031" s="557"/>
      <c r="E1031" s="557"/>
      <c r="F1031" s="558"/>
      <c r="G1031" s="558"/>
      <c r="H1031" s="293"/>
      <c r="I1031" s="559"/>
      <c r="J1031" s="559"/>
      <c r="K1031" s="559"/>
      <c r="L1031" s="559"/>
      <c r="M1031" s="559"/>
    </row>
    <row r="1032" spans="3:13" x14ac:dyDescent="0.25">
      <c r="C1032" s="557"/>
      <c r="D1032" s="557"/>
      <c r="E1032" s="557"/>
      <c r="F1032" s="558"/>
      <c r="G1032" s="558"/>
      <c r="H1032" s="293"/>
      <c r="I1032" s="559"/>
      <c r="J1032" s="559"/>
      <c r="K1032" s="559"/>
      <c r="L1032" s="559"/>
      <c r="M1032" s="559"/>
    </row>
    <row r="1033" spans="3:13" x14ac:dyDescent="0.25">
      <c r="C1033" s="557"/>
      <c r="D1033" s="557"/>
      <c r="E1033" s="557"/>
      <c r="F1033" s="558"/>
      <c r="G1033" s="558"/>
      <c r="H1033" s="293"/>
      <c r="I1033" s="559"/>
      <c r="J1033" s="559"/>
      <c r="K1033" s="559"/>
      <c r="L1033" s="559"/>
      <c r="M1033" s="559"/>
    </row>
    <row r="1034" spans="3:13" x14ac:dyDescent="0.25">
      <c r="C1034" s="557"/>
      <c r="D1034" s="557"/>
      <c r="E1034" s="557"/>
      <c r="F1034" s="558"/>
      <c r="G1034" s="558"/>
      <c r="H1034" s="293"/>
      <c r="I1034" s="559"/>
      <c r="J1034" s="559"/>
      <c r="K1034" s="559"/>
      <c r="L1034" s="559"/>
      <c r="M1034" s="559"/>
    </row>
    <row r="1035" spans="3:13" x14ac:dyDescent="0.25">
      <c r="C1035" s="557"/>
      <c r="D1035" s="557"/>
      <c r="E1035" s="557"/>
      <c r="F1035" s="558"/>
      <c r="G1035" s="558"/>
      <c r="H1035" s="293"/>
      <c r="I1035" s="559"/>
      <c r="J1035" s="559"/>
      <c r="K1035" s="559"/>
      <c r="L1035" s="559"/>
      <c r="M1035" s="559"/>
    </row>
    <row r="1036" spans="3:13" x14ac:dyDescent="0.25">
      <c r="C1036" s="557"/>
      <c r="D1036" s="557"/>
      <c r="E1036" s="557"/>
      <c r="F1036" s="558"/>
      <c r="G1036" s="558"/>
      <c r="H1036" s="293"/>
      <c r="I1036" s="559"/>
      <c r="J1036" s="559"/>
      <c r="K1036" s="559"/>
      <c r="L1036" s="559"/>
      <c r="M1036" s="559"/>
    </row>
    <row r="1037" spans="3:13" x14ac:dyDescent="0.25">
      <c r="C1037" s="557"/>
      <c r="D1037" s="557"/>
      <c r="E1037" s="557"/>
      <c r="F1037" s="558"/>
      <c r="G1037" s="558"/>
      <c r="H1037" s="293"/>
      <c r="I1037" s="559"/>
      <c r="J1037" s="559"/>
      <c r="K1037" s="559"/>
      <c r="L1037" s="559"/>
      <c r="M1037" s="559"/>
    </row>
    <row r="1038" spans="3:13" x14ac:dyDescent="0.25">
      <c r="C1038" s="557"/>
      <c r="D1038" s="557"/>
      <c r="E1038" s="557"/>
      <c r="F1038" s="558"/>
      <c r="G1038" s="558"/>
      <c r="H1038" s="293"/>
      <c r="I1038" s="559"/>
      <c r="J1038" s="559"/>
      <c r="K1038" s="559"/>
      <c r="L1038" s="559"/>
      <c r="M1038" s="559"/>
    </row>
    <row r="1039" spans="3:13" x14ac:dyDescent="0.25">
      <c r="C1039" s="557"/>
      <c r="D1039" s="557"/>
      <c r="E1039" s="557"/>
      <c r="F1039" s="558"/>
      <c r="G1039" s="558"/>
      <c r="H1039" s="293"/>
      <c r="I1039" s="559"/>
      <c r="J1039" s="559"/>
      <c r="K1039" s="559"/>
      <c r="L1039" s="559"/>
      <c r="M1039" s="559"/>
    </row>
    <row r="1040" spans="3:13" x14ac:dyDescent="0.25">
      <c r="C1040" s="557"/>
      <c r="D1040" s="557"/>
      <c r="E1040" s="557"/>
      <c r="F1040" s="558"/>
      <c r="G1040" s="558"/>
      <c r="H1040" s="293"/>
      <c r="I1040" s="559"/>
      <c r="J1040" s="559"/>
      <c r="K1040" s="559"/>
      <c r="L1040" s="559"/>
      <c r="M1040" s="559"/>
    </row>
    <row r="1041" spans="3:13" x14ac:dyDescent="0.25">
      <c r="C1041" s="557"/>
      <c r="D1041" s="557"/>
      <c r="E1041" s="557"/>
      <c r="F1041" s="558"/>
      <c r="G1041" s="558"/>
      <c r="H1041" s="293"/>
      <c r="I1041" s="559"/>
      <c r="J1041" s="559"/>
      <c r="K1041" s="559"/>
      <c r="L1041" s="559"/>
      <c r="M1041" s="559"/>
    </row>
    <row r="1042" spans="3:13" x14ac:dyDescent="0.25">
      <c r="C1042" s="557"/>
      <c r="D1042" s="557"/>
      <c r="E1042" s="557"/>
      <c r="F1042" s="558"/>
      <c r="G1042" s="558"/>
      <c r="H1042" s="293"/>
      <c r="I1042" s="559"/>
      <c r="J1042" s="559"/>
      <c r="K1042" s="559"/>
      <c r="L1042" s="559"/>
      <c r="M1042" s="559"/>
    </row>
    <row r="1043" spans="3:13" x14ac:dyDescent="0.25">
      <c r="C1043" s="557"/>
      <c r="D1043" s="557"/>
      <c r="E1043" s="557"/>
      <c r="F1043" s="558"/>
      <c r="G1043" s="558"/>
      <c r="H1043" s="293"/>
      <c r="I1043" s="559"/>
      <c r="J1043" s="559"/>
      <c r="K1043" s="559"/>
      <c r="L1043" s="559"/>
      <c r="M1043" s="559"/>
    </row>
    <row r="1044" spans="3:13" x14ac:dyDescent="0.25">
      <c r="C1044" s="557"/>
      <c r="D1044" s="557"/>
      <c r="E1044" s="557"/>
      <c r="F1044" s="558"/>
      <c r="G1044" s="558"/>
      <c r="H1044" s="293"/>
      <c r="I1044" s="559"/>
      <c r="J1044" s="559"/>
      <c r="K1044" s="559"/>
      <c r="L1044" s="559"/>
      <c r="M1044" s="559"/>
    </row>
    <row r="1045" spans="3:13" x14ac:dyDescent="0.25">
      <c r="C1045" s="557"/>
      <c r="D1045" s="557"/>
      <c r="E1045" s="557"/>
      <c r="F1045" s="558"/>
      <c r="G1045" s="558"/>
      <c r="H1045" s="293"/>
      <c r="I1045" s="559"/>
      <c r="J1045" s="559"/>
      <c r="K1045" s="559"/>
      <c r="L1045" s="559"/>
      <c r="M1045" s="559"/>
    </row>
    <row r="1046" spans="3:13" x14ac:dyDescent="0.25">
      <c r="C1046" s="557"/>
      <c r="D1046" s="557"/>
      <c r="E1046" s="557"/>
      <c r="F1046" s="558"/>
      <c r="G1046" s="558"/>
      <c r="H1046" s="293"/>
      <c r="I1046" s="559"/>
      <c r="J1046" s="559"/>
      <c r="K1046" s="559"/>
      <c r="L1046" s="559"/>
      <c r="M1046" s="559"/>
    </row>
    <row r="1047" spans="3:13" x14ac:dyDescent="0.25">
      <c r="C1047" s="557"/>
      <c r="D1047" s="557"/>
      <c r="E1047" s="557"/>
      <c r="F1047" s="558"/>
      <c r="G1047" s="558"/>
      <c r="H1047" s="293"/>
      <c r="I1047" s="559"/>
      <c r="J1047" s="559"/>
      <c r="K1047" s="559"/>
      <c r="L1047" s="559"/>
      <c r="M1047" s="559"/>
    </row>
    <row r="1048" spans="3:13" x14ac:dyDescent="0.25">
      <c r="C1048" s="557"/>
      <c r="D1048" s="557"/>
      <c r="E1048" s="557"/>
      <c r="F1048" s="558"/>
      <c r="G1048" s="558"/>
      <c r="H1048" s="293"/>
      <c r="I1048" s="559"/>
      <c r="J1048" s="559"/>
      <c r="K1048" s="559"/>
      <c r="L1048" s="559"/>
      <c r="M1048" s="559"/>
    </row>
    <row r="1049" spans="3:13" x14ac:dyDescent="0.25">
      <c r="C1049" s="557"/>
      <c r="D1049" s="557"/>
      <c r="E1049" s="557"/>
      <c r="F1049" s="558"/>
      <c r="G1049" s="558"/>
      <c r="H1049" s="293"/>
      <c r="I1049" s="559"/>
      <c r="J1049" s="559"/>
      <c r="K1049" s="559"/>
      <c r="L1049" s="559"/>
      <c r="M1049" s="559"/>
    </row>
    <row r="1050" spans="3:13" x14ac:dyDescent="0.25">
      <c r="C1050" s="557"/>
      <c r="D1050" s="557"/>
      <c r="E1050" s="557"/>
      <c r="F1050" s="558"/>
      <c r="G1050" s="558"/>
      <c r="H1050" s="293"/>
      <c r="I1050" s="559"/>
      <c r="J1050" s="559"/>
      <c r="K1050" s="559"/>
      <c r="L1050" s="559"/>
      <c r="M1050" s="559"/>
    </row>
    <row r="1051" spans="3:13" x14ac:dyDescent="0.25">
      <c r="C1051" s="557"/>
      <c r="D1051" s="557"/>
      <c r="E1051" s="557"/>
      <c r="F1051" s="558"/>
      <c r="G1051" s="558"/>
      <c r="H1051" s="293"/>
      <c r="I1051" s="559"/>
      <c r="J1051" s="559"/>
      <c r="K1051" s="559"/>
      <c r="L1051" s="559"/>
      <c r="M1051" s="559"/>
    </row>
    <row r="1052" spans="3:13" x14ac:dyDescent="0.25">
      <c r="C1052" s="557"/>
      <c r="D1052" s="557"/>
      <c r="E1052" s="557"/>
      <c r="F1052" s="558"/>
      <c r="G1052" s="558"/>
      <c r="H1052" s="293"/>
      <c r="I1052" s="559"/>
      <c r="J1052" s="559"/>
      <c r="K1052" s="559"/>
      <c r="L1052" s="559"/>
      <c r="M1052" s="559"/>
    </row>
    <row r="1053" spans="3:13" x14ac:dyDescent="0.25">
      <c r="C1053" s="557"/>
      <c r="D1053" s="557"/>
      <c r="E1053" s="557"/>
      <c r="F1053" s="558"/>
      <c r="G1053" s="558"/>
      <c r="H1053" s="293"/>
      <c r="I1053" s="559"/>
      <c r="J1053" s="559"/>
      <c r="K1053" s="559"/>
      <c r="L1053" s="559"/>
      <c r="M1053" s="559"/>
    </row>
    <row r="1054" spans="3:13" x14ac:dyDescent="0.25">
      <c r="C1054" s="557"/>
      <c r="D1054" s="557"/>
      <c r="E1054" s="557"/>
      <c r="F1054" s="558"/>
      <c r="G1054" s="558"/>
      <c r="H1054" s="293"/>
      <c r="I1054" s="559"/>
      <c r="J1054" s="559"/>
      <c r="K1054" s="559"/>
      <c r="L1054" s="559"/>
      <c r="M1054" s="559"/>
    </row>
    <row r="1055" spans="3:13" x14ac:dyDescent="0.25">
      <c r="C1055" s="557"/>
      <c r="D1055" s="557"/>
      <c r="E1055" s="557"/>
      <c r="F1055" s="558"/>
      <c r="G1055" s="558"/>
      <c r="H1055" s="293"/>
      <c r="I1055" s="559"/>
      <c r="J1055" s="559"/>
      <c r="K1055" s="559"/>
      <c r="L1055" s="559"/>
      <c r="M1055" s="559"/>
    </row>
    <row r="1056" spans="3:13" x14ac:dyDescent="0.25">
      <c r="C1056" s="557"/>
      <c r="D1056" s="557"/>
      <c r="E1056" s="557"/>
      <c r="F1056" s="558"/>
      <c r="G1056" s="558"/>
      <c r="H1056" s="293"/>
      <c r="I1056" s="559"/>
      <c r="J1056" s="559"/>
      <c r="K1056" s="559"/>
      <c r="L1056" s="559"/>
      <c r="M1056" s="559"/>
    </row>
    <row r="1057" spans="3:13" x14ac:dyDescent="0.25">
      <c r="C1057" s="557"/>
      <c r="D1057" s="557"/>
      <c r="E1057" s="557"/>
      <c r="F1057" s="558"/>
      <c r="G1057" s="558"/>
      <c r="H1057" s="293"/>
      <c r="I1057" s="559"/>
      <c r="J1057" s="559"/>
      <c r="K1057" s="559"/>
      <c r="L1057" s="559"/>
      <c r="M1057" s="559"/>
    </row>
    <row r="1058" spans="3:13" x14ac:dyDescent="0.25">
      <c r="C1058" s="557"/>
      <c r="D1058" s="557"/>
      <c r="E1058" s="557"/>
      <c r="F1058" s="558"/>
      <c r="G1058" s="558"/>
      <c r="H1058" s="293"/>
      <c r="I1058" s="559"/>
      <c r="J1058" s="559"/>
      <c r="K1058" s="559"/>
      <c r="L1058" s="559"/>
      <c r="M1058" s="559"/>
    </row>
    <row r="1059" spans="3:13" x14ac:dyDescent="0.25">
      <c r="C1059" s="557"/>
      <c r="D1059" s="557"/>
      <c r="E1059" s="557"/>
      <c r="F1059" s="558"/>
      <c r="G1059" s="558"/>
      <c r="H1059" s="293"/>
      <c r="I1059" s="559"/>
      <c r="J1059" s="559"/>
      <c r="K1059" s="559"/>
      <c r="L1059" s="559"/>
      <c r="M1059" s="559"/>
    </row>
    <row r="1060" spans="3:13" x14ac:dyDescent="0.25">
      <c r="C1060" s="557"/>
      <c r="D1060" s="557"/>
      <c r="E1060" s="557"/>
      <c r="F1060" s="558"/>
      <c r="G1060" s="558"/>
      <c r="H1060" s="293"/>
      <c r="I1060" s="559"/>
      <c r="J1060" s="559"/>
      <c r="K1060" s="559"/>
      <c r="L1060" s="559"/>
      <c r="M1060" s="559"/>
    </row>
    <row r="1061" spans="3:13" x14ac:dyDescent="0.25">
      <c r="C1061" s="557"/>
      <c r="D1061" s="557"/>
      <c r="E1061" s="557"/>
      <c r="F1061" s="558"/>
      <c r="G1061" s="558"/>
      <c r="H1061" s="293"/>
      <c r="I1061" s="559"/>
      <c r="J1061" s="559"/>
      <c r="K1061" s="559"/>
      <c r="L1061" s="559"/>
      <c r="M1061" s="559"/>
    </row>
    <row r="1062" spans="3:13" x14ac:dyDescent="0.25">
      <c r="C1062" s="557"/>
      <c r="D1062" s="557"/>
      <c r="E1062" s="557"/>
      <c r="F1062" s="558"/>
      <c r="G1062" s="558"/>
      <c r="H1062" s="293"/>
      <c r="I1062" s="559"/>
      <c r="J1062" s="559"/>
      <c r="K1062" s="559"/>
      <c r="L1062" s="559"/>
      <c r="M1062" s="559"/>
    </row>
    <row r="1063" spans="3:13" x14ac:dyDescent="0.25">
      <c r="C1063" s="557"/>
      <c r="D1063" s="557"/>
      <c r="E1063" s="557"/>
      <c r="F1063" s="558"/>
      <c r="G1063" s="558"/>
      <c r="H1063" s="293"/>
      <c r="I1063" s="559"/>
      <c r="J1063" s="559"/>
      <c r="K1063" s="559"/>
      <c r="L1063" s="559"/>
      <c r="M1063" s="559"/>
    </row>
    <row r="1064" spans="3:13" x14ac:dyDescent="0.25">
      <c r="C1064" s="557"/>
      <c r="D1064" s="557"/>
      <c r="E1064" s="557"/>
      <c r="F1064" s="558"/>
      <c r="G1064" s="558"/>
      <c r="H1064" s="293"/>
      <c r="I1064" s="559"/>
      <c r="J1064" s="559"/>
      <c r="K1064" s="559"/>
      <c r="L1064" s="559"/>
      <c r="M1064" s="559"/>
    </row>
    <row r="1065" spans="3:13" x14ac:dyDescent="0.25">
      <c r="C1065" s="557"/>
      <c r="D1065" s="557"/>
      <c r="E1065" s="557"/>
      <c r="F1065" s="558"/>
      <c r="G1065" s="558"/>
      <c r="H1065" s="293"/>
      <c r="I1065" s="559"/>
      <c r="J1065" s="559"/>
      <c r="K1065" s="559"/>
      <c r="L1065" s="559"/>
      <c r="M1065" s="559"/>
    </row>
    <row r="1066" spans="3:13" x14ac:dyDescent="0.25">
      <c r="C1066" s="557"/>
      <c r="D1066" s="557"/>
      <c r="E1066" s="557"/>
      <c r="F1066" s="558"/>
      <c r="G1066" s="558"/>
      <c r="H1066" s="293"/>
      <c r="I1066" s="559"/>
      <c r="J1066" s="559"/>
      <c r="K1066" s="559"/>
      <c r="L1066" s="559"/>
      <c r="M1066" s="559"/>
    </row>
    <row r="1067" spans="3:13" x14ac:dyDescent="0.25">
      <c r="C1067" s="557"/>
      <c r="D1067" s="557"/>
      <c r="E1067" s="557"/>
      <c r="F1067" s="558"/>
      <c r="G1067" s="558"/>
      <c r="H1067" s="293"/>
      <c r="I1067" s="559"/>
      <c r="J1067" s="559"/>
      <c r="K1067" s="559"/>
      <c r="L1067" s="559"/>
      <c r="M1067" s="559"/>
    </row>
    <row r="1068" spans="3:13" x14ac:dyDescent="0.25">
      <c r="C1068" s="557"/>
      <c r="D1068" s="557"/>
      <c r="E1068" s="557"/>
      <c r="F1068" s="558"/>
      <c r="G1068" s="558"/>
      <c r="H1068" s="293"/>
      <c r="I1068" s="559"/>
      <c r="J1068" s="559"/>
      <c r="K1068" s="559"/>
      <c r="L1068" s="559"/>
      <c r="M1068" s="559"/>
    </row>
    <row r="1069" spans="3:13" x14ac:dyDescent="0.25">
      <c r="C1069" s="557"/>
      <c r="D1069" s="557"/>
      <c r="E1069" s="557"/>
      <c r="F1069" s="558"/>
      <c r="G1069" s="558"/>
      <c r="H1069" s="293"/>
      <c r="I1069" s="559"/>
      <c r="J1069" s="559"/>
      <c r="K1069" s="559"/>
      <c r="L1069" s="559"/>
      <c r="M1069" s="559"/>
    </row>
    <row r="1070" spans="3:13" x14ac:dyDescent="0.25">
      <c r="C1070" s="557"/>
      <c r="D1070" s="557"/>
      <c r="E1070" s="557"/>
      <c r="F1070" s="558"/>
      <c r="G1070" s="558"/>
      <c r="H1070" s="293"/>
      <c r="I1070" s="559"/>
      <c r="J1070" s="559"/>
      <c r="K1070" s="559"/>
      <c r="L1070" s="559"/>
      <c r="M1070" s="559"/>
    </row>
    <row r="1071" spans="3:13" x14ac:dyDescent="0.25">
      <c r="C1071" s="557"/>
      <c r="D1071" s="557"/>
      <c r="E1071" s="557"/>
      <c r="F1071" s="558"/>
      <c r="G1071" s="558"/>
      <c r="H1071" s="293"/>
      <c r="I1071" s="559"/>
      <c r="J1071" s="559"/>
      <c r="K1071" s="559"/>
      <c r="L1071" s="559"/>
      <c r="M1071" s="559"/>
    </row>
    <row r="1072" spans="3:13" x14ac:dyDescent="0.25">
      <c r="C1072" s="557"/>
      <c r="D1072" s="557"/>
      <c r="E1072" s="557"/>
      <c r="F1072" s="558"/>
      <c r="G1072" s="558"/>
      <c r="H1072" s="293"/>
      <c r="I1072" s="559"/>
      <c r="J1072" s="559"/>
      <c r="K1072" s="559"/>
      <c r="L1072" s="559"/>
      <c r="M1072" s="559"/>
    </row>
    <row r="1073" spans="3:13" x14ac:dyDescent="0.25">
      <c r="C1073" s="557"/>
      <c r="D1073" s="557"/>
      <c r="E1073" s="557"/>
      <c r="F1073" s="558"/>
      <c r="G1073" s="558"/>
      <c r="H1073" s="293"/>
      <c r="I1073" s="559"/>
      <c r="J1073" s="559"/>
      <c r="K1073" s="559"/>
      <c r="L1073" s="559"/>
      <c r="M1073" s="559"/>
    </row>
    <row r="1074" spans="3:13" x14ac:dyDescent="0.25">
      <c r="C1074" s="557"/>
      <c r="D1074" s="557"/>
      <c r="E1074" s="557"/>
      <c r="F1074" s="558"/>
      <c r="G1074" s="558"/>
      <c r="H1074" s="293"/>
      <c r="I1074" s="559"/>
      <c r="J1074" s="559"/>
      <c r="K1074" s="559"/>
      <c r="L1074" s="559"/>
      <c r="M1074" s="559"/>
    </row>
    <row r="1075" spans="3:13" x14ac:dyDescent="0.25">
      <c r="C1075" s="557"/>
      <c r="D1075" s="557"/>
      <c r="E1075" s="557"/>
      <c r="F1075" s="558"/>
      <c r="G1075" s="558"/>
      <c r="H1075" s="293"/>
      <c r="I1075" s="559"/>
      <c r="J1075" s="559"/>
      <c r="K1075" s="559"/>
      <c r="L1075" s="559"/>
      <c r="M1075" s="559"/>
    </row>
    <row r="1076" spans="3:13" x14ac:dyDescent="0.25">
      <c r="C1076" s="557"/>
      <c r="D1076" s="557"/>
      <c r="E1076" s="557"/>
      <c r="F1076" s="558"/>
      <c r="G1076" s="558"/>
      <c r="H1076" s="293"/>
      <c r="I1076" s="559"/>
      <c r="J1076" s="559"/>
      <c r="K1076" s="559"/>
      <c r="L1076" s="559"/>
      <c r="M1076" s="559"/>
    </row>
    <row r="1077" spans="3:13" x14ac:dyDescent="0.25">
      <c r="C1077" s="557"/>
      <c r="D1077" s="557"/>
      <c r="E1077" s="557"/>
      <c r="F1077" s="558"/>
      <c r="G1077" s="558"/>
      <c r="H1077" s="293"/>
      <c r="I1077" s="559"/>
      <c r="J1077" s="559"/>
      <c r="K1077" s="559"/>
      <c r="L1077" s="559"/>
      <c r="M1077" s="559"/>
    </row>
    <row r="1078" spans="3:13" x14ac:dyDescent="0.25">
      <c r="C1078" s="557"/>
      <c r="D1078" s="557"/>
      <c r="E1078" s="557"/>
      <c r="F1078" s="558"/>
      <c r="G1078" s="558"/>
      <c r="H1078" s="293"/>
      <c r="I1078" s="559"/>
      <c r="J1078" s="559"/>
      <c r="K1078" s="559"/>
      <c r="L1078" s="559"/>
      <c r="M1078" s="559"/>
    </row>
    <row r="1079" spans="3:13" x14ac:dyDescent="0.25">
      <c r="C1079" s="557"/>
      <c r="D1079" s="557"/>
      <c r="E1079" s="557"/>
      <c r="F1079" s="558"/>
      <c r="G1079" s="558"/>
      <c r="H1079" s="293"/>
      <c r="I1079" s="559"/>
      <c r="J1079" s="559"/>
      <c r="K1079" s="559"/>
      <c r="L1079" s="559"/>
      <c r="M1079" s="559"/>
    </row>
    <row r="1080" spans="3:13" x14ac:dyDescent="0.25">
      <c r="C1080" s="557"/>
      <c r="D1080" s="557"/>
      <c r="E1080" s="557"/>
      <c r="F1080" s="558"/>
      <c r="G1080" s="558"/>
      <c r="H1080" s="293"/>
      <c r="I1080" s="559"/>
      <c r="J1080" s="559"/>
      <c r="K1080" s="559"/>
      <c r="L1080" s="559"/>
      <c r="M1080" s="559"/>
    </row>
    <row r="1081" spans="3:13" x14ac:dyDescent="0.25">
      <c r="C1081" s="557"/>
      <c r="D1081" s="557"/>
      <c r="E1081" s="557"/>
      <c r="F1081" s="558"/>
      <c r="G1081" s="558"/>
      <c r="H1081" s="293"/>
      <c r="I1081" s="559"/>
      <c r="J1081" s="559"/>
      <c r="K1081" s="559"/>
      <c r="L1081" s="559"/>
      <c r="M1081" s="559"/>
    </row>
    <row r="1082" spans="3:13" x14ac:dyDescent="0.25">
      <c r="C1082" s="557"/>
      <c r="D1082" s="557"/>
      <c r="E1082" s="557"/>
      <c r="F1082" s="558"/>
      <c r="G1082" s="558"/>
      <c r="H1082" s="293"/>
      <c r="I1082" s="559"/>
      <c r="J1082" s="559"/>
      <c r="K1082" s="559"/>
      <c r="L1082" s="559"/>
      <c r="M1082" s="559"/>
    </row>
    <row r="1083" spans="3:13" x14ac:dyDescent="0.25">
      <c r="C1083" s="557"/>
      <c r="D1083" s="557"/>
      <c r="E1083" s="557"/>
      <c r="F1083" s="558"/>
      <c r="G1083" s="558"/>
      <c r="H1083" s="293"/>
      <c r="I1083" s="559"/>
      <c r="J1083" s="559"/>
      <c r="K1083" s="559"/>
      <c r="L1083" s="559"/>
      <c r="M1083" s="559"/>
    </row>
    <row r="1084" spans="3:13" x14ac:dyDescent="0.25">
      <c r="C1084" s="557"/>
      <c r="D1084" s="557"/>
      <c r="E1084" s="557"/>
      <c r="F1084" s="558"/>
      <c r="G1084" s="558"/>
      <c r="H1084" s="293"/>
      <c r="I1084" s="559"/>
      <c r="J1084" s="559"/>
      <c r="K1084" s="559"/>
      <c r="L1084" s="559"/>
      <c r="M1084" s="559"/>
    </row>
    <row r="1085" spans="3:13" x14ac:dyDescent="0.25">
      <c r="C1085" s="557"/>
      <c r="D1085" s="557"/>
      <c r="E1085" s="557"/>
      <c r="F1085" s="558"/>
      <c r="G1085" s="558"/>
      <c r="H1085" s="293"/>
      <c r="I1085" s="559"/>
      <c r="J1085" s="559"/>
      <c r="K1085" s="559"/>
      <c r="L1085" s="559"/>
      <c r="M1085" s="559"/>
    </row>
    <row r="1086" spans="3:13" x14ac:dyDescent="0.25">
      <c r="C1086" s="557"/>
      <c r="D1086" s="557"/>
      <c r="E1086" s="557"/>
      <c r="F1086" s="558"/>
      <c r="G1086" s="558"/>
      <c r="H1086" s="293"/>
      <c r="I1086" s="559"/>
      <c r="J1086" s="559"/>
      <c r="K1086" s="559"/>
      <c r="L1086" s="559"/>
      <c r="M1086" s="559"/>
    </row>
    <row r="1087" spans="3:13" x14ac:dyDescent="0.25">
      <c r="C1087" s="557"/>
      <c r="D1087" s="557"/>
      <c r="E1087" s="557"/>
      <c r="F1087" s="558"/>
      <c r="G1087" s="558"/>
      <c r="H1087" s="293"/>
      <c r="I1087" s="559"/>
      <c r="J1087" s="559"/>
      <c r="K1087" s="559"/>
      <c r="L1087" s="559"/>
      <c r="M1087" s="559"/>
    </row>
    <row r="1088" spans="3:13" x14ac:dyDescent="0.25">
      <c r="C1088" s="557"/>
      <c r="D1088" s="557"/>
      <c r="E1088" s="557"/>
      <c r="F1088" s="558"/>
      <c r="G1088" s="558"/>
      <c r="H1088" s="293"/>
      <c r="I1088" s="559"/>
      <c r="J1088" s="559"/>
      <c r="K1088" s="559"/>
      <c r="L1088" s="559"/>
      <c r="M1088" s="559"/>
    </row>
    <row r="1089" spans="3:13" x14ac:dyDescent="0.25">
      <c r="C1089" s="557"/>
      <c r="D1089" s="557"/>
      <c r="E1089" s="557"/>
      <c r="F1089" s="558"/>
      <c r="G1089" s="558"/>
      <c r="H1089" s="293"/>
      <c r="I1089" s="559"/>
      <c r="J1089" s="559"/>
      <c r="K1089" s="559"/>
      <c r="L1089" s="559"/>
      <c r="M1089" s="559"/>
    </row>
    <row r="1090" spans="3:13" x14ac:dyDescent="0.25">
      <c r="C1090" s="557"/>
      <c r="D1090" s="557"/>
      <c r="E1090" s="557"/>
      <c r="F1090" s="558"/>
      <c r="G1090" s="558"/>
      <c r="H1090" s="293"/>
      <c r="I1090" s="559"/>
      <c r="J1090" s="559"/>
      <c r="K1090" s="559"/>
      <c r="L1090" s="559"/>
      <c r="M1090" s="559"/>
    </row>
    <row r="1091" spans="3:13" x14ac:dyDescent="0.25">
      <c r="C1091" s="557"/>
      <c r="D1091" s="557"/>
      <c r="E1091" s="557"/>
      <c r="F1091" s="558"/>
      <c r="G1091" s="558"/>
      <c r="H1091" s="293"/>
      <c r="I1091" s="559"/>
      <c r="J1091" s="559"/>
      <c r="K1091" s="559"/>
      <c r="L1091" s="559"/>
      <c r="M1091" s="559"/>
    </row>
    <row r="1092" spans="3:13" x14ac:dyDescent="0.25">
      <c r="C1092" s="557"/>
      <c r="D1092" s="557"/>
      <c r="E1092" s="557"/>
      <c r="F1092" s="558"/>
      <c r="G1092" s="558"/>
      <c r="H1092" s="293"/>
      <c r="I1092" s="559"/>
      <c r="J1092" s="559"/>
      <c r="K1092" s="559"/>
      <c r="L1092" s="559"/>
      <c r="M1092" s="559"/>
    </row>
    <row r="1093" spans="3:13" x14ac:dyDescent="0.25">
      <c r="C1093" s="557"/>
      <c r="D1093" s="557"/>
      <c r="E1093" s="557"/>
      <c r="F1093" s="558"/>
      <c r="G1093" s="558"/>
      <c r="H1093" s="293"/>
      <c r="I1093" s="559"/>
      <c r="J1093" s="559"/>
      <c r="K1093" s="559"/>
      <c r="L1093" s="559"/>
      <c r="M1093" s="559"/>
    </row>
    <row r="1094" spans="3:13" x14ac:dyDescent="0.25">
      <c r="C1094" s="557"/>
      <c r="D1094" s="557"/>
      <c r="E1094" s="557"/>
      <c r="F1094" s="558"/>
      <c r="G1094" s="558"/>
      <c r="H1094" s="293"/>
      <c r="I1094" s="559"/>
      <c r="J1094" s="559"/>
      <c r="K1094" s="559"/>
      <c r="L1094" s="559"/>
      <c r="M1094" s="559"/>
    </row>
    <row r="1095" spans="3:13" x14ac:dyDescent="0.25">
      <c r="C1095" s="557"/>
      <c r="D1095" s="557"/>
      <c r="E1095" s="557"/>
      <c r="F1095" s="558"/>
      <c r="G1095" s="558"/>
      <c r="H1095" s="293"/>
      <c r="I1095" s="559"/>
      <c r="J1095" s="559"/>
      <c r="K1095" s="559"/>
      <c r="L1095" s="559"/>
      <c r="M1095" s="559"/>
    </row>
    <row r="1096" spans="3:13" x14ac:dyDescent="0.25">
      <c r="C1096" s="557"/>
      <c r="D1096" s="557"/>
      <c r="E1096" s="557"/>
      <c r="F1096" s="558"/>
      <c r="G1096" s="558"/>
      <c r="H1096" s="293"/>
      <c r="I1096" s="559"/>
      <c r="J1096" s="559"/>
      <c r="K1096" s="559"/>
      <c r="L1096" s="559"/>
      <c r="M1096" s="559"/>
    </row>
    <row r="1097" spans="3:13" x14ac:dyDescent="0.25">
      <c r="C1097" s="557"/>
      <c r="D1097" s="557"/>
      <c r="E1097" s="557"/>
      <c r="F1097" s="558"/>
      <c r="G1097" s="558"/>
      <c r="H1097" s="293"/>
      <c r="I1097" s="559"/>
      <c r="J1097" s="559"/>
      <c r="K1097" s="559"/>
      <c r="L1097" s="559"/>
      <c r="M1097" s="559"/>
    </row>
    <row r="1098" spans="3:13" x14ac:dyDescent="0.25">
      <c r="C1098" s="557"/>
      <c r="D1098" s="557"/>
      <c r="E1098" s="557"/>
      <c r="F1098" s="558"/>
      <c r="G1098" s="558"/>
      <c r="H1098" s="293"/>
      <c r="I1098" s="559"/>
      <c r="J1098" s="559"/>
      <c r="K1098" s="559"/>
      <c r="L1098" s="559"/>
      <c r="M1098" s="559"/>
    </row>
    <row r="1099" spans="3:13" x14ac:dyDescent="0.25">
      <c r="C1099" s="557"/>
      <c r="D1099" s="557"/>
      <c r="E1099" s="557"/>
      <c r="F1099" s="558"/>
      <c r="G1099" s="558"/>
      <c r="H1099" s="293"/>
      <c r="I1099" s="559"/>
      <c r="J1099" s="559"/>
      <c r="K1099" s="559"/>
      <c r="L1099" s="559"/>
      <c r="M1099" s="559"/>
    </row>
    <row r="1100" spans="3:13" x14ac:dyDescent="0.25">
      <c r="C1100" s="557"/>
      <c r="D1100" s="557"/>
      <c r="E1100" s="557"/>
      <c r="F1100" s="558"/>
      <c r="G1100" s="558"/>
      <c r="H1100" s="293"/>
      <c r="I1100" s="559"/>
      <c r="J1100" s="559"/>
      <c r="K1100" s="559"/>
      <c r="L1100" s="559"/>
      <c r="M1100" s="559"/>
    </row>
    <row r="1101" spans="3:13" x14ac:dyDescent="0.25">
      <c r="C1101" s="557"/>
      <c r="D1101" s="557"/>
      <c r="E1101" s="557"/>
      <c r="F1101" s="558"/>
      <c r="G1101" s="558"/>
      <c r="H1101" s="293"/>
      <c r="I1101" s="559"/>
      <c r="J1101" s="559"/>
      <c r="K1101" s="559"/>
      <c r="L1101" s="559"/>
      <c r="M1101" s="559"/>
    </row>
    <row r="1102" spans="3:13" x14ac:dyDescent="0.25">
      <c r="C1102" s="557"/>
      <c r="D1102" s="557"/>
      <c r="E1102" s="557"/>
      <c r="F1102" s="558"/>
      <c r="G1102" s="558"/>
      <c r="H1102" s="293"/>
      <c r="I1102" s="559"/>
      <c r="J1102" s="559"/>
      <c r="K1102" s="559"/>
      <c r="L1102" s="559"/>
      <c r="M1102" s="559"/>
    </row>
    <row r="1103" spans="3:13" x14ac:dyDescent="0.25">
      <c r="C1103" s="557"/>
      <c r="D1103" s="557"/>
      <c r="E1103" s="557"/>
      <c r="F1103" s="558"/>
      <c r="G1103" s="558"/>
      <c r="H1103" s="293"/>
      <c r="I1103" s="559"/>
      <c r="J1103" s="559"/>
      <c r="K1103" s="559"/>
      <c r="L1103" s="559"/>
      <c r="M1103" s="559"/>
    </row>
    <row r="1104" spans="3:13" x14ac:dyDescent="0.25">
      <c r="C1104" s="557"/>
      <c r="D1104" s="557"/>
      <c r="E1104" s="557"/>
      <c r="F1104" s="558"/>
      <c r="G1104" s="558"/>
      <c r="H1104" s="293"/>
      <c r="I1104" s="559"/>
      <c r="J1104" s="559"/>
      <c r="K1104" s="559"/>
      <c r="L1104" s="559"/>
      <c r="M1104" s="559"/>
    </row>
    <row r="1105" spans="3:13" x14ac:dyDescent="0.25">
      <c r="C1105" s="557"/>
      <c r="D1105" s="557"/>
      <c r="E1105" s="557"/>
      <c r="F1105" s="558"/>
      <c r="G1105" s="558"/>
      <c r="H1105" s="293"/>
      <c r="I1105" s="559"/>
      <c r="J1105" s="559"/>
      <c r="K1105" s="559"/>
      <c r="L1105" s="559"/>
      <c r="M1105" s="559"/>
    </row>
    <row r="1106" spans="3:13" x14ac:dyDescent="0.25">
      <c r="C1106" s="557"/>
      <c r="D1106" s="557"/>
      <c r="E1106" s="557"/>
      <c r="F1106" s="558"/>
      <c r="G1106" s="558"/>
      <c r="H1106" s="293"/>
      <c r="I1106" s="559"/>
      <c r="J1106" s="559"/>
      <c r="K1106" s="559"/>
      <c r="L1106" s="559"/>
      <c r="M1106" s="559"/>
    </row>
    <row r="1107" spans="3:13" x14ac:dyDescent="0.25">
      <c r="C1107" s="557"/>
      <c r="D1107" s="557"/>
      <c r="E1107" s="557"/>
      <c r="F1107" s="558"/>
      <c r="G1107" s="558"/>
      <c r="H1107" s="293"/>
      <c r="I1107" s="559"/>
      <c r="J1107" s="559"/>
      <c r="K1107" s="559"/>
      <c r="L1107" s="559"/>
      <c r="M1107" s="559"/>
    </row>
    <row r="1108" spans="3:13" x14ac:dyDescent="0.25">
      <c r="C1108" s="557"/>
      <c r="D1108" s="557"/>
      <c r="E1108" s="557"/>
      <c r="F1108" s="558"/>
      <c r="G1108" s="558"/>
      <c r="H1108" s="293"/>
      <c r="I1108" s="559"/>
      <c r="J1108" s="559"/>
      <c r="K1108" s="559"/>
      <c r="L1108" s="559"/>
      <c r="M1108" s="559"/>
    </row>
    <row r="1109" spans="3:13" x14ac:dyDescent="0.25">
      <c r="C1109" s="557"/>
      <c r="D1109" s="557"/>
      <c r="E1109" s="557"/>
      <c r="F1109" s="558"/>
      <c r="G1109" s="558"/>
      <c r="H1109" s="293"/>
      <c r="I1109" s="559"/>
      <c r="J1109" s="559"/>
      <c r="K1109" s="559"/>
      <c r="L1109" s="559"/>
      <c r="M1109" s="559"/>
    </row>
    <row r="1110" spans="3:13" x14ac:dyDescent="0.25">
      <c r="C1110" s="557"/>
      <c r="D1110" s="557"/>
      <c r="E1110" s="557"/>
      <c r="F1110" s="558"/>
      <c r="G1110" s="558"/>
      <c r="H1110" s="293"/>
      <c r="I1110" s="559"/>
      <c r="J1110" s="559"/>
      <c r="K1110" s="559"/>
      <c r="L1110" s="559"/>
      <c r="M1110" s="559"/>
    </row>
    <row r="1111" spans="3:13" x14ac:dyDescent="0.25">
      <c r="C1111" s="557"/>
      <c r="D1111" s="557"/>
      <c r="E1111" s="557"/>
      <c r="F1111" s="558"/>
      <c r="G1111" s="558"/>
      <c r="H1111" s="293"/>
      <c r="I1111" s="559"/>
      <c r="J1111" s="559"/>
      <c r="K1111" s="559"/>
      <c r="L1111" s="559"/>
      <c r="M1111" s="559"/>
    </row>
    <row r="1112" spans="3:13" x14ac:dyDescent="0.25">
      <c r="C1112" s="557"/>
      <c r="D1112" s="557"/>
      <c r="E1112" s="557"/>
      <c r="F1112" s="558"/>
      <c r="G1112" s="558"/>
      <c r="H1112" s="293"/>
      <c r="I1112" s="559"/>
      <c r="J1112" s="559"/>
      <c r="K1112" s="559"/>
      <c r="L1112" s="559"/>
      <c r="M1112" s="559"/>
    </row>
    <row r="1113" spans="3:13" x14ac:dyDescent="0.25">
      <c r="C1113" s="557"/>
      <c r="D1113" s="557"/>
      <c r="E1113" s="557"/>
      <c r="F1113" s="558"/>
      <c r="G1113" s="558"/>
      <c r="H1113" s="293"/>
      <c r="I1113" s="559"/>
      <c r="J1113" s="559"/>
      <c r="K1113" s="559"/>
      <c r="L1113" s="559"/>
      <c r="M1113" s="559"/>
    </row>
    <row r="1114" spans="3:13" x14ac:dyDescent="0.25">
      <c r="C1114" s="557"/>
      <c r="D1114" s="557"/>
      <c r="E1114" s="557"/>
      <c r="F1114" s="558"/>
      <c r="G1114" s="558"/>
      <c r="H1114" s="293"/>
      <c r="I1114" s="559"/>
      <c r="J1114" s="559"/>
      <c r="K1114" s="559"/>
      <c r="L1114" s="559"/>
      <c r="M1114" s="559"/>
    </row>
    <row r="1115" spans="3:13" x14ac:dyDescent="0.25">
      <c r="C1115" s="557"/>
      <c r="D1115" s="557"/>
      <c r="E1115" s="557"/>
      <c r="F1115" s="558"/>
      <c r="G1115" s="558"/>
      <c r="H1115" s="293"/>
      <c r="I1115" s="559"/>
      <c r="J1115" s="559"/>
      <c r="K1115" s="559"/>
      <c r="L1115" s="559"/>
      <c r="M1115" s="559"/>
    </row>
    <row r="1116" spans="3:13" x14ac:dyDescent="0.25">
      <c r="C1116" s="557"/>
      <c r="D1116" s="557"/>
      <c r="E1116" s="557"/>
      <c r="F1116" s="558"/>
      <c r="G1116" s="558"/>
      <c r="H1116" s="293"/>
      <c r="I1116" s="559"/>
      <c r="J1116" s="559"/>
      <c r="K1116" s="559"/>
      <c r="L1116" s="559"/>
      <c r="M1116" s="559"/>
    </row>
    <row r="1117" spans="3:13" x14ac:dyDescent="0.25">
      <c r="C1117" s="557"/>
      <c r="D1117" s="557"/>
      <c r="E1117" s="557"/>
      <c r="F1117" s="558"/>
      <c r="G1117" s="558"/>
      <c r="H1117" s="293"/>
      <c r="I1117" s="559"/>
      <c r="J1117" s="559"/>
      <c r="K1117" s="559"/>
      <c r="L1117" s="559"/>
      <c r="M1117" s="559"/>
    </row>
    <row r="1118" spans="3:13" x14ac:dyDescent="0.25">
      <c r="C1118" s="557"/>
      <c r="D1118" s="557"/>
      <c r="E1118" s="557"/>
      <c r="F1118" s="558"/>
      <c r="G1118" s="558"/>
      <c r="H1118" s="293"/>
      <c r="I1118" s="559"/>
      <c r="J1118" s="559"/>
      <c r="K1118" s="559"/>
      <c r="L1118" s="559"/>
      <c r="M1118" s="559"/>
    </row>
    <row r="1119" spans="3:13" x14ac:dyDescent="0.25">
      <c r="C1119" s="557"/>
      <c r="D1119" s="557"/>
      <c r="E1119" s="557"/>
      <c r="F1119" s="558"/>
      <c r="G1119" s="558"/>
      <c r="H1119" s="293"/>
      <c r="I1119" s="559"/>
      <c r="J1119" s="559"/>
      <c r="K1119" s="559"/>
      <c r="L1119" s="559"/>
      <c r="M1119" s="559"/>
    </row>
    <row r="1120" spans="3:13" x14ac:dyDescent="0.25">
      <c r="C1120" s="557"/>
      <c r="D1120" s="557"/>
      <c r="E1120" s="557"/>
      <c r="F1120" s="558"/>
      <c r="G1120" s="558"/>
      <c r="H1120" s="293"/>
      <c r="I1120" s="559"/>
      <c r="J1120" s="559"/>
      <c r="K1120" s="559"/>
      <c r="L1120" s="559"/>
      <c r="M1120" s="559"/>
    </row>
    <row r="1121" spans="3:13" x14ac:dyDescent="0.25">
      <c r="C1121" s="557"/>
      <c r="D1121" s="557"/>
      <c r="E1121" s="557"/>
      <c r="F1121" s="558"/>
      <c r="G1121" s="558"/>
      <c r="H1121" s="293"/>
      <c r="I1121" s="559"/>
      <c r="J1121" s="559"/>
      <c r="K1121" s="559"/>
      <c r="L1121" s="559"/>
      <c r="M1121" s="559"/>
    </row>
    <row r="1122" spans="3:13" x14ac:dyDescent="0.25">
      <c r="C1122" s="557"/>
      <c r="D1122" s="557"/>
      <c r="E1122" s="557"/>
      <c r="F1122" s="558"/>
      <c r="G1122" s="558"/>
      <c r="H1122" s="293"/>
      <c r="I1122" s="559"/>
      <c r="J1122" s="559"/>
      <c r="K1122" s="559"/>
      <c r="L1122" s="559"/>
      <c r="M1122" s="559"/>
    </row>
    <row r="1123" spans="3:13" x14ac:dyDescent="0.25">
      <c r="C1123" s="557"/>
      <c r="D1123" s="557"/>
      <c r="E1123" s="557"/>
      <c r="F1123" s="558"/>
      <c r="G1123" s="558"/>
      <c r="H1123" s="293"/>
      <c r="I1123" s="559"/>
      <c r="J1123" s="559"/>
      <c r="K1123" s="559"/>
      <c r="L1123" s="559"/>
      <c r="M1123" s="559"/>
    </row>
    <row r="1124" spans="3:13" x14ac:dyDescent="0.25">
      <c r="C1124" s="557"/>
      <c r="D1124" s="557"/>
      <c r="E1124" s="557"/>
      <c r="F1124" s="558"/>
      <c r="G1124" s="558"/>
      <c r="H1124" s="293"/>
      <c r="I1124" s="559"/>
      <c r="J1124" s="559"/>
      <c r="K1124" s="559"/>
      <c r="L1124" s="559"/>
      <c r="M1124" s="559"/>
    </row>
    <row r="1125" spans="3:13" x14ac:dyDescent="0.25">
      <c r="C1125" s="557"/>
      <c r="D1125" s="557"/>
      <c r="E1125" s="557"/>
      <c r="F1125" s="558"/>
      <c r="G1125" s="558"/>
      <c r="H1125" s="293"/>
      <c r="I1125" s="559"/>
      <c r="J1125" s="559"/>
      <c r="K1125" s="559"/>
      <c r="L1125" s="559"/>
      <c r="M1125" s="559"/>
    </row>
    <row r="1126" spans="3:13" x14ac:dyDescent="0.25">
      <c r="C1126" s="557"/>
      <c r="D1126" s="557"/>
      <c r="E1126" s="557"/>
      <c r="F1126" s="558"/>
      <c r="G1126" s="558"/>
      <c r="H1126" s="293"/>
      <c r="I1126" s="559"/>
      <c r="J1126" s="559"/>
      <c r="K1126" s="559"/>
      <c r="L1126" s="559"/>
      <c r="M1126" s="559"/>
    </row>
    <row r="1127" spans="3:13" x14ac:dyDescent="0.25">
      <c r="C1127" s="557"/>
      <c r="D1127" s="557"/>
      <c r="E1127" s="557"/>
      <c r="F1127" s="558"/>
      <c r="G1127" s="558"/>
      <c r="H1127" s="293"/>
      <c r="I1127" s="559"/>
      <c r="J1127" s="559"/>
      <c r="K1127" s="559"/>
      <c r="L1127" s="559"/>
      <c r="M1127" s="559"/>
    </row>
    <row r="1128" spans="3:13" x14ac:dyDescent="0.25">
      <c r="C1128" s="557"/>
      <c r="D1128" s="557"/>
      <c r="E1128" s="557"/>
      <c r="F1128" s="558"/>
      <c r="G1128" s="558"/>
      <c r="H1128" s="293"/>
      <c r="I1128" s="559"/>
      <c r="J1128" s="559"/>
      <c r="K1128" s="559"/>
      <c r="L1128" s="559"/>
      <c r="M1128" s="559"/>
    </row>
    <row r="1129" spans="3:13" x14ac:dyDescent="0.25">
      <c r="C1129" s="557"/>
      <c r="D1129" s="557"/>
      <c r="E1129" s="557"/>
      <c r="F1129" s="558"/>
      <c r="G1129" s="558"/>
      <c r="H1129" s="293"/>
      <c r="I1129" s="559"/>
      <c r="J1129" s="559"/>
      <c r="K1129" s="559"/>
      <c r="L1129" s="559"/>
      <c r="M1129" s="559"/>
    </row>
    <row r="1130" spans="3:13" x14ac:dyDescent="0.25">
      <c r="C1130" s="557"/>
      <c r="D1130" s="557"/>
      <c r="E1130" s="557"/>
      <c r="F1130" s="558"/>
      <c r="G1130" s="558"/>
      <c r="H1130" s="293"/>
      <c r="I1130" s="559"/>
      <c r="J1130" s="559"/>
      <c r="K1130" s="559"/>
      <c r="L1130" s="559"/>
      <c r="M1130" s="559"/>
    </row>
    <row r="1131" spans="3:13" x14ac:dyDescent="0.25">
      <c r="C1131" s="557"/>
      <c r="D1131" s="557"/>
      <c r="E1131" s="557"/>
      <c r="F1131" s="558"/>
      <c r="G1131" s="558"/>
      <c r="H1131" s="293"/>
      <c r="I1131" s="559"/>
      <c r="J1131" s="559"/>
      <c r="K1131" s="559"/>
      <c r="L1131" s="559"/>
      <c r="M1131" s="559"/>
    </row>
    <row r="1132" spans="3:13" x14ac:dyDescent="0.25">
      <c r="C1132" s="557"/>
      <c r="D1132" s="557"/>
      <c r="E1132" s="557"/>
      <c r="F1132" s="558"/>
      <c r="G1132" s="558"/>
      <c r="H1132" s="293"/>
      <c r="I1132" s="559"/>
      <c r="J1132" s="559"/>
      <c r="K1132" s="559"/>
      <c r="L1132" s="559"/>
      <c r="M1132" s="559"/>
    </row>
    <row r="1133" spans="3:13" x14ac:dyDescent="0.25">
      <c r="C1133" s="557"/>
      <c r="D1133" s="557"/>
      <c r="E1133" s="557"/>
      <c r="F1133" s="558"/>
      <c r="G1133" s="558"/>
      <c r="H1133" s="293"/>
      <c r="I1133" s="559"/>
      <c r="J1133" s="559"/>
      <c r="K1133" s="559"/>
      <c r="L1133" s="559"/>
      <c r="M1133" s="559"/>
    </row>
    <row r="1134" spans="3:13" x14ac:dyDescent="0.25">
      <c r="C1134" s="557"/>
      <c r="D1134" s="557"/>
      <c r="E1134" s="557"/>
      <c r="F1134" s="558"/>
      <c r="G1134" s="558"/>
      <c r="H1134" s="293"/>
      <c r="I1134" s="559"/>
      <c r="J1134" s="559"/>
      <c r="K1134" s="559"/>
      <c r="L1134" s="559"/>
      <c r="M1134" s="559"/>
    </row>
    <row r="1135" spans="3:13" x14ac:dyDescent="0.25">
      <c r="C1135" s="557"/>
      <c r="D1135" s="557"/>
      <c r="E1135" s="557"/>
      <c r="F1135" s="558"/>
      <c r="G1135" s="558"/>
      <c r="H1135" s="293"/>
      <c r="I1135" s="559"/>
      <c r="J1135" s="559"/>
      <c r="K1135" s="559"/>
      <c r="L1135" s="559"/>
      <c r="M1135" s="559"/>
    </row>
    <row r="1136" spans="3:13" x14ac:dyDescent="0.25">
      <c r="C1136" s="557"/>
      <c r="D1136" s="557"/>
      <c r="E1136" s="557"/>
      <c r="F1136" s="558"/>
      <c r="G1136" s="558"/>
      <c r="H1136" s="293"/>
      <c r="I1136" s="559"/>
      <c r="J1136" s="559"/>
      <c r="K1136" s="559"/>
      <c r="L1136" s="559"/>
      <c r="M1136" s="559"/>
    </row>
    <row r="1137" spans="3:13" x14ac:dyDescent="0.25">
      <c r="C1137" s="557"/>
      <c r="D1137" s="557"/>
      <c r="E1137" s="557"/>
      <c r="F1137" s="558"/>
      <c r="G1137" s="558"/>
      <c r="H1137" s="293"/>
      <c r="I1137" s="559"/>
      <c r="J1137" s="559"/>
      <c r="K1137" s="559"/>
      <c r="L1137" s="559"/>
      <c r="M1137" s="559"/>
    </row>
    <row r="1138" spans="3:13" x14ac:dyDescent="0.25">
      <c r="C1138" s="557"/>
      <c r="D1138" s="557"/>
      <c r="E1138" s="557"/>
      <c r="F1138" s="558"/>
      <c r="G1138" s="558"/>
      <c r="H1138" s="293"/>
      <c r="I1138" s="559"/>
      <c r="J1138" s="559"/>
      <c r="K1138" s="559"/>
      <c r="L1138" s="559"/>
      <c r="M1138" s="559"/>
    </row>
    <row r="1139" spans="3:13" x14ac:dyDescent="0.25">
      <c r="C1139" s="557"/>
      <c r="D1139" s="557"/>
      <c r="E1139" s="557"/>
      <c r="F1139" s="558"/>
      <c r="G1139" s="558"/>
      <c r="H1139" s="293"/>
      <c r="I1139" s="559"/>
      <c r="J1139" s="559"/>
      <c r="K1139" s="559"/>
      <c r="L1139" s="559"/>
      <c r="M1139" s="559"/>
    </row>
    <row r="1140" spans="3:13" x14ac:dyDescent="0.25">
      <c r="C1140" s="557"/>
      <c r="D1140" s="557"/>
      <c r="E1140" s="557"/>
      <c r="F1140" s="558"/>
      <c r="G1140" s="558"/>
      <c r="H1140" s="293"/>
      <c r="I1140" s="559"/>
      <c r="J1140" s="559"/>
      <c r="K1140" s="559"/>
      <c r="L1140" s="559"/>
      <c r="M1140" s="559"/>
    </row>
    <row r="1141" spans="3:13" x14ac:dyDescent="0.25">
      <c r="C1141" s="557"/>
      <c r="D1141" s="557"/>
      <c r="E1141" s="557"/>
      <c r="F1141" s="558"/>
      <c r="G1141" s="558"/>
      <c r="H1141" s="293"/>
      <c r="I1141" s="559"/>
      <c r="J1141" s="559"/>
      <c r="K1141" s="559"/>
      <c r="L1141" s="559"/>
      <c r="M1141" s="559"/>
    </row>
    <row r="1142" spans="3:13" x14ac:dyDescent="0.25">
      <c r="C1142" s="557"/>
      <c r="D1142" s="557"/>
      <c r="E1142" s="557"/>
      <c r="F1142" s="558"/>
      <c r="G1142" s="558"/>
      <c r="H1142" s="293"/>
      <c r="I1142" s="559"/>
      <c r="J1142" s="559"/>
      <c r="K1142" s="559"/>
      <c r="L1142" s="559"/>
      <c r="M1142" s="559"/>
    </row>
    <row r="1143" spans="3:13" x14ac:dyDescent="0.25">
      <c r="C1143" s="557"/>
      <c r="D1143" s="557"/>
      <c r="E1143" s="557"/>
      <c r="F1143" s="558"/>
      <c r="G1143" s="558"/>
      <c r="H1143" s="293"/>
      <c r="I1143" s="559"/>
      <c r="J1143" s="559"/>
      <c r="K1143" s="559"/>
      <c r="L1143" s="559"/>
      <c r="M1143" s="559"/>
    </row>
    <row r="1144" spans="3:13" x14ac:dyDescent="0.25">
      <c r="C1144" s="557"/>
      <c r="D1144" s="557"/>
      <c r="E1144" s="557"/>
      <c r="F1144" s="558"/>
      <c r="G1144" s="558"/>
      <c r="H1144" s="293"/>
      <c r="I1144" s="559"/>
      <c r="J1144" s="559"/>
      <c r="K1144" s="559"/>
      <c r="L1144" s="559"/>
      <c r="M1144" s="559"/>
    </row>
    <row r="1145" spans="3:13" x14ac:dyDescent="0.25">
      <c r="C1145" s="557"/>
      <c r="D1145" s="557"/>
      <c r="E1145" s="557"/>
      <c r="F1145" s="558"/>
      <c r="G1145" s="558"/>
      <c r="H1145" s="293"/>
      <c r="I1145" s="559"/>
      <c r="J1145" s="559"/>
      <c r="K1145" s="559"/>
      <c r="L1145" s="559"/>
      <c r="M1145" s="559"/>
    </row>
    <row r="1146" spans="3:13" x14ac:dyDescent="0.25">
      <c r="C1146" s="557"/>
      <c r="D1146" s="557"/>
      <c r="E1146" s="557"/>
      <c r="F1146" s="558"/>
      <c r="G1146" s="558"/>
      <c r="H1146" s="293"/>
      <c r="I1146" s="559"/>
      <c r="J1146" s="559"/>
      <c r="K1146" s="559"/>
      <c r="L1146" s="559"/>
      <c r="M1146" s="559"/>
    </row>
    <row r="1147" spans="3:13" x14ac:dyDescent="0.25">
      <c r="C1147" s="557"/>
      <c r="D1147" s="557"/>
      <c r="E1147" s="557"/>
      <c r="F1147" s="558"/>
      <c r="G1147" s="558"/>
      <c r="H1147" s="293"/>
      <c r="I1147" s="559"/>
      <c r="J1147" s="559"/>
      <c r="K1147" s="559"/>
      <c r="L1147" s="559"/>
      <c r="M1147" s="559"/>
    </row>
    <row r="1148" spans="3:13" x14ac:dyDescent="0.25">
      <c r="C1148" s="557"/>
      <c r="D1148" s="557"/>
      <c r="E1148" s="557"/>
      <c r="F1148" s="558"/>
      <c r="G1148" s="558"/>
      <c r="H1148" s="293"/>
      <c r="I1148" s="559"/>
      <c r="J1148" s="559"/>
      <c r="K1148" s="559"/>
      <c r="L1148" s="559"/>
      <c r="M1148" s="559"/>
    </row>
    <row r="1149" spans="3:13" x14ac:dyDescent="0.25">
      <c r="C1149" s="557"/>
      <c r="D1149" s="557"/>
      <c r="E1149" s="557"/>
      <c r="F1149" s="558"/>
      <c r="G1149" s="558"/>
      <c r="H1149" s="293"/>
      <c r="I1149" s="559"/>
      <c r="J1149" s="559"/>
      <c r="K1149" s="559"/>
      <c r="L1149" s="559"/>
      <c r="M1149" s="559"/>
    </row>
    <row r="1150" spans="3:13" x14ac:dyDescent="0.25">
      <c r="C1150" s="557"/>
      <c r="D1150" s="557"/>
      <c r="E1150" s="557"/>
      <c r="F1150" s="558"/>
      <c r="G1150" s="558"/>
      <c r="H1150" s="293"/>
      <c r="I1150" s="559"/>
      <c r="J1150" s="559"/>
      <c r="K1150" s="559"/>
      <c r="L1150" s="559"/>
      <c r="M1150" s="559"/>
    </row>
    <row r="1151" spans="3:13" x14ac:dyDescent="0.25">
      <c r="C1151" s="557"/>
      <c r="D1151" s="557"/>
      <c r="E1151" s="557"/>
      <c r="F1151" s="558"/>
      <c r="G1151" s="558"/>
      <c r="H1151" s="293"/>
      <c r="I1151" s="559"/>
      <c r="J1151" s="559"/>
      <c r="K1151" s="559"/>
      <c r="L1151" s="559"/>
      <c r="M1151" s="559"/>
    </row>
    <row r="1152" spans="3:13" x14ac:dyDescent="0.25">
      <c r="C1152" s="557"/>
      <c r="D1152" s="557"/>
      <c r="E1152" s="557"/>
      <c r="F1152" s="558"/>
      <c r="G1152" s="558"/>
      <c r="H1152" s="293"/>
      <c r="I1152" s="559"/>
      <c r="J1152" s="559"/>
      <c r="K1152" s="559"/>
      <c r="L1152" s="559"/>
      <c r="M1152" s="559"/>
    </row>
    <row r="1153" spans="3:13" x14ac:dyDescent="0.25">
      <c r="C1153" s="557"/>
      <c r="D1153" s="557"/>
      <c r="E1153" s="557"/>
      <c r="F1153" s="558"/>
      <c r="G1153" s="558"/>
      <c r="H1153" s="293"/>
      <c r="I1153" s="559"/>
      <c r="J1153" s="559"/>
      <c r="K1153" s="559"/>
      <c r="L1153" s="559"/>
      <c r="M1153" s="559"/>
    </row>
    <row r="1154" spans="3:13" x14ac:dyDescent="0.25">
      <c r="C1154" s="557"/>
      <c r="D1154" s="557"/>
      <c r="E1154" s="557"/>
      <c r="F1154" s="558"/>
      <c r="G1154" s="558"/>
      <c r="H1154" s="293"/>
      <c r="I1154" s="559"/>
      <c r="J1154" s="559"/>
      <c r="K1154" s="559"/>
      <c r="L1154" s="559"/>
      <c r="M1154" s="559"/>
    </row>
    <row r="1155" spans="3:13" x14ac:dyDescent="0.25">
      <c r="C1155" s="557"/>
      <c r="D1155" s="557"/>
      <c r="E1155" s="557"/>
      <c r="F1155" s="558"/>
      <c r="G1155" s="558"/>
      <c r="H1155" s="293"/>
      <c r="I1155" s="559"/>
      <c r="J1155" s="559"/>
      <c r="K1155" s="559"/>
      <c r="L1155" s="559"/>
      <c r="M1155" s="559"/>
    </row>
    <row r="1156" spans="3:13" x14ac:dyDescent="0.25">
      <c r="C1156" s="557"/>
      <c r="D1156" s="557"/>
      <c r="E1156" s="557"/>
      <c r="F1156" s="558"/>
      <c r="G1156" s="558"/>
      <c r="H1156" s="293"/>
      <c r="I1156" s="559"/>
      <c r="J1156" s="559"/>
      <c r="K1156" s="559"/>
      <c r="L1156" s="559"/>
      <c r="M1156" s="559"/>
    </row>
    <row r="1157" spans="3:13" x14ac:dyDescent="0.25">
      <c r="C1157" s="557"/>
      <c r="D1157" s="557"/>
      <c r="E1157" s="557"/>
      <c r="F1157" s="558"/>
      <c r="G1157" s="558"/>
      <c r="H1157" s="293"/>
      <c r="I1157" s="559"/>
      <c r="J1157" s="559"/>
      <c r="K1157" s="559"/>
      <c r="L1157" s="559"/>
      <c r="M1157" s="559"/>
    </row>
    <row r="1158" spans="3:13" x14ac:dyDescent="0.25">
      <c r="C1158" s="557"/>
      <c r="D1158" s="557"/>
      <c r="E1158" s="557"/>
      <c r="F1158" s="558"/>
      <c r="G1158" s="558"/>
      <c r="H1158" s="293"/>
      <c r="I1158" s="559"/>
      <c r="J1158" s="559"/>
      <c r="K1158" s="559"/>
      <c r="L1158" s="559"/>
      <c r="M1158" s="559"/>
    </row>
    <row r="1159" spans="3:13" x14ac:dyDescent="0.25">
      <c r="C1159" s="557"/>
      <c r="D1159" s="557"/>
      <c r="E1159" s="557"/>
      <c r="F1159" s="558"/>
      <c r="G1159" s="558"/>
      <c r="H1159" s="293"/>
      <c r="I1159" s="559"/>
      <c r="J1159" s="559"/>
      <c r="K1159" s="559"/>
      <c r="L1159" s="559"/>
      <c r="M1159" s="559"/>
    </row>
    <row r="1160" spans="3:13" x14ac:dyDescent="0.25">
      <c r="C1160" s="557"/>
      <c r="D1160" s="557"/>
      <c r="E1160" s="557"/>
      <c r="F1160" s="558"/>
      <c r="G1160" s="558"/>
      <c r="H1160" s="293"/>
      <c r="I1160" s="559"/>
      <c r="J1160" s="559"/>
      <c r="K1160" s="559"/>
      <c r="L1160" s="559"/>
      <c r="M1160" s="559"/>
    </row>
    <row r="1161" spans="3:13" x14ac:dyDescent="0.25">
      <c r="C1161" s="557"/>
      <c r="D1161" s="557"/>
      <c r="E1161" s="557"/>
      <c r="F1161" s="558"/>
      <c r="G1161" s="558"/>
      <c r="H1161" s="293"/>
      <c r="I1161" s="559"/>
      <c r="J1161" s="559"/>
      <c r="K1161" s="559"/>
      <c r="L1161" s="559"/>
      <c r="M1161" s="559"/>
    </row>
    <row r="1162" spans="3:13" x14ac:dyDescent="0.25">
      <c r="C1162" s="557"/>
      <c r="D1162" s="557"/>
      <c r="E1162" s="557"/>
      <c r="F1162" s="558"/>
      <c r="G1162" s="558"/>
      <c r="H1162" s="293"/>
      <c r="I1162" s="559"/>
      <c r="J1162" s="559"/>
      <c r="K1162" s="559"/>
      <c r="L1162" s="559"/>
      <c r="M1162" s="559"/>
    </row>
    <row r="1163" spans="3:13" x14ac:dyDescent="0.25">
      <c r="C1163" s="557"/>
      <c r="D1163" s="557"/>
      <c r="E1163" s="557"/>
      <c r="F1163" s="558"/>
      <c r="G1163" s="558"/>
      <c r="H1163" s="293"/>
      <c r="I1163" s="559"/>
      <c r="J1163" s="559"/>
      <c r="K1163" s="559"/>
      <c r="L1163" s="559"/>
      <c r="M1163" s="559"/>
    </row>
    <row r="1164" spans="3:13" x14ac:dyDescent="0.25">
      <c r="C1164" s="557"/>
      <c r="D1164" s="557"/>
      <c r="E1164" s="557"/>
      <c r="F1164" s="558"/>
      <c r="G1164" s="558"/>
      <c r="H1164" s="293"/>
      <c r="I1164" s="559"/>
      <c r="J1164" s="559"/>
      <c r="K1164" s="559"/>
      <c r="L1164" s="559"/>
      <c r="M1164" s="559"/>
    </row>
    <row r="1165" spans="3:13" x14ac:dyDescent="0.25">
      <c r="C1165" s="557"/>
      <c r="D1165" s="557"/>
      <c r="E1165" s="557"/>
      <c r="F1165" s="558"/>
      <c r="G1165" s="558"/>
      <c r="H1165" s="293"/>
      <c r="I1165" s="559"/>
      <c r="J1165" s="559"/>
      <c r="K1165" s="559"/>
      <c r="L1165" s="559"/>
      <c r="M1165" s="559"/>
    </row>
    <row r="1166" spans="3:13" x14ac:dyDescent="0.25">
      <c r="C1166" s="557"/>
      <c r="D1166" s="557"/>
      <c r="E1166" s="557"/>
      <c r="F1166" s="558"/>
      <c r="G1166" s="558"/>
      <c r="H1166" s="293"/>
      <c r="I1166" s="559"/>
      <c r="J1166" s="559"/>
      <c r="K1166" s="559"/>
      <c r="L1166" s="559"/>
      <c r="M1166" s="559"/>
    </row>
    <row r="1167" spans="3:13" x14ac:dyDescent="0.25">
      <c r="C1167" s="557"/>
      <c r="D1167" s="557"/>
      <c r="E1167" s="557"/>
      <c r="F1167" s="558"/>
      <c r="G1167" s="558"/>
      <c r="H1167" s="293"/>
      <c r="I1167" s="559"/>
      <c r="J1167" s="559"/>
      <c r="K1167" s="559"/>
      <c r="L1167" s="559"/>
      <c r="M1167" s="559"/>
    </row>
    <row r="1168" spans="3:13" x14ac:dyDescent="0.25">
      <c r="C1168" s="557"/>
      <c r="D1168" s="557"/>
      <c r="E1168" s="557"/>
      <c r="F1168" s="558"/>
      <c r="G1168" s="558"/>
      <c r="H1168" s="293"/>
      <c r="I1168" s="559"/>
      <c r="J1168" s="559"/>
      <c r="K1168" s="559"/>
      <c r="L1168" s="559"/>
      <c r="M1168" s="559"/>
    </row>
    <row r="1169" spans="3:13" x14ac:dyDescent="0.25">
      <c r="C1169" s="557"/>
      <c r="D1169" s="557"/>
      <c r="E1169" s="557"/>
      <c r="F1169" s="558"/>
      <c r="G1169" s="558"/>
      <c r="H1169" s="293"/>
      <c r="I1169" s="559"/>
      <c r="J1169" s="559"/>
      <c r="K1169" s="559"/>
      <c r="L1169" s="559"/>
      <c r="M1169" s="559"/>
    </row>
    <row r="1170" spans="3:13" x14ac:dyDescent="0.25">
      <c r="C1170" s="557"/>
      <c r="D1170" s="557"/>
      <c r="E1170" s="557"/>
      <c r="F1170" s="558"/>
      <c r="G1170" s="558"/>
      <c r="H1170" s="293"/>
      <c r="I1170" s="559"/>
      <c r="J1170" s="559"/>
      <c r="K1170" s="559"/>
      <c r="L1170" s="559"/>
      <c r="M1170" s="559"/>
    </row>
    <row r="1171" spans="3:13" x14ac:dyDescent="0.25">
      <c r="C1171" s="557"/>
      <c r="D1171" s="557"/>
      <c r="E1171" s="557"/>
      <c r="F1171" s="558"/>
      <c r="G1171" s="558"/>
      <c r="H1171" s="293"/>
      <c r="I1171" s="559"/>
      <c r="J1171" s="559"/>
      <c r="K1171" s="559"/>
      <c r="L1171" s="559"/>
      <c r="M1171" s="559"/>
    </row>
    <row r="1172" spans="3:13" x14ac:dyDescent="0.25">
      <c r="C1172" s="557"/>
      <c r="D1172" s="557"/>
      <c r="E1172" s="557"/>
      <c r="F1172" s="558"/>
      <c r="G1172" s="558"/>
      <c r="H1172" s="293"/>
      <c r="I1172" s="559"/>
      <c r="J1172" s="559"/>
      <c r="K1172" s="559"/>
      <c r="L1172" s="559"/>
      <c r="M1172" s="559"/>
    </row>
    <row r="1173" spans="3:13" x14ac:dyDescent="0.25">
      <c r="C1173" s="557"/>
      <c r="D1173" s="557"/>
      <c r="E1173" s="557"/>
      <c r="F1173" s="558"/>
      <c r="G1173" s="558"/>
      <c r="H1173" s="293"/>
      <c r="I1173" s="559"/>
      <c r="J1173" s="559"/>
      <c r="K1173" s="559"/>
      <c r="L1173" s="559"/>
      <c r="M1173" s="559"/>
    </row>
    <row r="1174" spans="3:13" x14ac:dyDescent="0.25">
      <c r="C1174" s="557"/>
      <c r="D1174" s="557"/>
      <c r="E1174" s="557"/>
      <c r="F1174" s="558"/>
      <c r="G1174" s="558"/>
      <c r="H1174" s="293"/>
      <c r="I1174" s="559"/>
      <c r="J1174" s="559"/>
      <c r="K1174" s="559"/>
      <c r="L1174" s="559"/>
      <c r="M1174" s="559"/>
    </row>
    <row r="1175" spans="3:13" x14ac:dyDescent="0.25">
      <c r="C1175" s="557"/>
      <c r="D1175" s="557"/>
      <c r="E1175" s="557"/>
      <c r="F1175" s="558"/>
      <c r="G1175" s="558"/>
      <c r="H1175" s="293"/>
      <c r="I1175" s="559"/>
      <c r="J1175" s="559"/>
      <c r="K1175" s="559"/>
      <c r="L1175" s="559"/>
      <c r="M1175" s="559"/>
    </row>
    <row r="1176" spans="3:13" x14ac:dyDescent="0.25">
      <c r="C1176" s="557"/>
      <c r="D1176" s="557"/>
      <c r="E1176" s="557"/>
      <c r="F1176" s="558"/>
      <c r="G1176" s="558"/>
      <c r="H1176" s="293"/>
      <c r="I1176" s="559"/>
      <c r="J1176" s="559"/>
      <c r="K1176" s="559"/>
      <c r="L1176" s="559"/>
      <c r="M1176" s="559"/>
    </row>
    <row r="1177" spans="3:13" x14ac:dyDescent="0.25">
      <c r="C1177" s="557"/>
      <c r="D1177" s="557"/>
      <c r="E1177" s="557"/>
      <c r="F1177" s="558"/>
      <c r="G1177" s="558"/>
      <c r="H1177" s="293"/>
      <c r="I1177" s="559"/>
      <c r="J1177" s="559"/>
      <c r="K1177" s="559"/>
      <c r="L1177" s="559"/>
      <c r="M1177" s="559"/>
    </row>
    <row r="1178" spans="3:13" x14ac:dyDescent="0.25">
      <c r="C1178" s="557"/>
      <c r="D1178" s="557"/>
      <c r="E1178" s="557"/>
      <c r="F1178" s="558"/>
      <c r="G1178" s="558"/>
      <c r="H1178" s="293"/>
      <c r="I1178" s="559"/>
      <c r="J1178" s="559"/>
      <c r="K1178" s="559"/>
      <c r="L1178" s="559"/>
      <c r="M1178" s="559"/>
    </row>
    <row r="1179" spans="3:13" x14ac:dyDescent="0.25">
      <c r="C1179" s="557"/>
      <c r="D1179" s="557"/>
      <c r="E1179" s="557"/>
      <c r="F1179" s="558"/>
      <c r="G1179" s="558"/>
      <c r="H1179" s="293"/>
      <c r="I1179" s="559"/>
      <c r="J1179" s="559"/>
      <c r="K1179" s="559"/>
      <c r="L1179" s="559"/>
      <c r="M1179" s="559"/>
    </row>
    <row r="1180" spans="3:13" x14ac:dyDescent="0.25">
      <c r="C1180" s="557"/>
      <c r="D1180" s="557"/>
      <c r="E1180" s="557"/>
      <c r="F1180" s="558"/>
      <c r="G1180" s="558"/>
      <c r="H1180" s="293"/>
      <c r="I1180" s="559"/>
      <c r="J1180" s="559"/>
      <c r="K1180" s="559"/>
      <c r="L1180" s="559"/>
      <c r="M1180" s="559"/>
    </row>
    <row r="1181" spans="3:13" x14ac:dyDescent="0.25">
      <c r="C1181" s="557"/>
      <c r="D1181" s="557"/>
      <c r="E1181" s="557"/>
      <c r="F1181" s="558"/>
      <c r="G1181" s="558"/>
      <c r="H1181" s="293"/>
      <c r="I1181" s="559"/>
      <c r="J1181" s="559"/>
      <c r="K1181" s="559"/>
      <c r="L1181" s="559"/>
      <c r="M1181" s="559"/>
    </row>
    <row r="1182" spans="3:13" x14ac:dyDescent="0.25">
      <c r="C1182" s="557"/>
      <c r="D1182" s="557"/>
      <c r="E1182" s="557"/>
      <c r="F1182" s="558"/>
      <c r="G1182" s="558"/>
      <c r="H1182" s="293"/>
      <c r="I1182" s="559"/>
      <c r="J1182" s="559"/>
      <c r="K1182" s="559"/>
      <c r="L1182" s="559"/>
      <c r="M1182" s="559"/>
    </row>
    <row r="1183" spans="3:13" x14ac:dyDescent="0.25">
      <c r="C1183" s="557"/>
      <c r="D1183" s="557"/>
      <c r="E1183" s="557"/>
      <c r="F1183" s="558"/>
      <c r="G1183" s="558"/>
      <c r="H1183" s="293"/>
      <c r="I1183" s="559"/>
      <c r="J1183" s="559"/>
      <c r="K1183" s="559"/>
      <c r="L1183" s="559"/>
      <c r="M1183" s="559"/>
    </row>
    <row r="1184" spans="3:13" x14ac:dyDescent="0.25">
      <c r="C1184" s="557"/>
      <c r="D1184" s="557"/>
      <c r="E1184" s="557"/>
      <c r="F1184" s="558"/>
      <c r="G1184" s="558"/>
      <c r="H1184" s="293"/>
      <c r="I1184" s="559"/>
      <c r="J1184" s="559"/>
      <c r="K1184" s="559"/>
      <c r="L1184" s="559"/>
      <c r="M1184" s="559"/>
    </row>
    <row r="1185" spans="3:13" x14ac:dyDescent="0.25">
      <c r="C1185" s="557"/>
      <c r="D1185" s="557"/>
      <c r="E1185" s="557"/>
      <c r="F1185" s="558"/>
      <c r="G1185" s="558"/>
      <c r="H1185" s="293"/>
      <c r="I1185" s="559"/>
      <c r="J1185" s="559"/>
      <c r="K1185" s="559"/>
      <c r="L1185" s="559"/>
      <c r="M1185" s="559"/>
    </row>
    <row r="1186" spans="3:13" x14ac:dyDescent="0.25">
      <c r="C1186" s="557"/>
      <c r="D1186" s="557"/>
      <c r="E1186" s="557"/>
      <c r="F1186" s="558"/>
      <c r="G1186" s="558"/>
      <c r="H1186" s="293"/>
      <c r="I1186" s="559"/>
      <c r="J1186" s="559"/>
      <c r="K1186" s="559"/>
      <c r="L1186" s="559"/>
      <c r="M1186" s="559"/>
    </row>
    <row r="1187" spans="3:13" x14ac:dyDescent="0.25">
      <c r="C1187" s="557"/>
      <c r="D1187" s="557"/>
      <c r="E1187" s="557"/>
      <c r="F1187" s="558"/>
      <c r="G1187" s="558"/>
      <c r="H1187" s="293"/>
      <c r="I1187" s="559"/>
      <c r="J1187" s="559"/>
      <c r="K1187" s="559"/>
      <c r="L1187" s="559"/>
      <c r="M1187" s="559"/>
    </row>
    <row r="1188" spans="3:13" x14ac:dyDescent="0.25">
      <c r="C1188" s="557"/>
      <c r="D1188" s="557"/>
      <c r="E1188" s="557"/>
      <c r="F1188" s="558"/>
      <c r="G1188" s="558"/>
      <c r="H1188" s="293"/>
      <c r="I1188" s="559"/>
      <c r="J1188" s="559"/>
      <c r="K1188" s="559"/>
      <c r="L1188" s="559"/>
      <c r="M1188" s="559"/>
    </row>
    <row r="1189" spans="3:13" x14ac:dyDescent="0.25">
      <c r="C1189" s="557"/>
      <c r="D1189" s="557"/>
      <c r="E1189" s="557"/>
      <c r="F1189" s="558"/>
      <c r="G1189" s="558"/>
      <c r="H1189" s="293"/>
      <c r="I1189" s="559"/>
      <c r="J1189" s="559"/>
      <c r="K1189" s="559"/>
      <c r="L1189" s="559"/>
      <c r="M1189" s="559"/>
    </row>
    <row r="1190" spans="3:13" x14ac:dyDescent="0.25">
      <c r="C1190" s="557"/>
      <c r="D1190" s="557"/>
      <c r="E1190" s="557"/>
      <c r="F1190" s="558"/>
      <c r="G1190" s="558"/>
      <c r="H1190" s="293"/>
      <c r="I1190" s="559"/>
      <c r="J1190" s="559"/>
      <c r="K1190" s="559"/>
      <c r="L1190" s="559"/>
      <c r="M1190" s="559"/>
    </row>
    <row r="1191" spans="3:13" x14ac:dyDescent="0.25">
      <c r="C1191" s="557"/>
      <c r="D1191" s="557"/>
      <c r="E1191" s="557"/>
      <c r="F1191" s="558"/>
      <c r="G1191" s="558"/>
      <c r="H1191" s="293"/>
      <c r="I1191" s="559"/>
      <c r="J1191" s="559"/>
      <c r="K1191" s="559"/>
      <c r="L1191" s="559"/>
      <c r="M1191" s="559"/>
    </row>
    <row r="1192" spans="3:13" x14ac:dyDescent="0.25">
      <c r="C1192" s="557"/>
      <c r="D1192" s="557"/>
      <c r="E1192" s="557"/>
      <c r="F1192" s="558"/>
      <c r="G1192" s="558"/>
      <c r="H1192" s="293"/>
      <c r="I1192" s="559"/>
      <c r="J1192" s="559"/>
      <c r="K1192" s="559"/>
      <c r="L1192" s="559"/>
      <c r="M1192" s="559"/>
    </row>
    <row r="1193" spans="3:13" x14ac:dyDescent="0.25">
      <c r="C1193" s="557"/>
      <c r="D1193" s="557"/>
      <c r="E1193" s="557"/>
      <c r="F1193" s="558"/>
      <c r="G1193" s="558"/>
      <c r="H1193" s="293"/>
      <c r="I1193" s="559"/>
      <c r="J1193" s="559"/>
      <c r="K1193" s="559"/>
      <c r="L1193" s="559"/>
      <c r="M1193" s="559"/>
    </row>
    <row r="1194" spans="3:13" x14ac:dyDescent="0.25">
      <c r="C1194" s="557"/>
      <c r="D1194" s="557"/>
      <c r="E1194" s="557"/>
      <c r="F1194" s="558"/>
      <c r="G1194" s="558"/>
      <c r="H1194" s="293"/>
      <c r="I1194" s="559"/>
      <c r="J1194" s="559"/>
      <c r="K1194" s="559"/>
      <c r="L1194" s="559"/>
      <c r="M1194" s="559"/>
    </row>
    <row r="1195" spans="3:13" x14ac:dyDescent="0.25">
      <c r="C1195" s="557"/>
      <c r="D1195" s="557"/>
      <c r="E1195" s="557"/>
      <c r="F1195" s="558"/>
      <c r="G1195" s="558"/>
      <c r="H1195" s="293"/>
      <c r="I1195" s="559"/>
      <c r="J1195" s="559"/>
      <c r="K1195" s="559"/>
      <c r="L1195" s="559"/>
      <c r="M1195" s="559"/>
    </row>
    <row r="1196" spans="3:13" x14ac:dyDescent="0.25">
      <c r="C1196" s="557"/>
      <c r="D1196" s="557"/>
      <c r="E1196" s="557"/>
      <c r="F1196" s="558"/>
      <c r="G1196" s="558"/>
      <c r="H1196" s="293"/>
      <c r="I1196" s="559"/>
      <c r="J1196" s="559"/>
      <c r="K1196" s="559"/>
      <c r="L1196" s="559"/>
      <c r="M1196" s="559"/>
    </row>
    <row r="1197" spans="3:13" x14ac:dyDescent="0.25">
      <c r="C1197" s="557"/>
      <c r="D1197" s="557"/>
      <c r="E1197" s="557"/>
      <c r="F1197" s="558"/>
      <c r="G1197" s="558"/>
      <c r="H1197" s="293"/>
      <c r="I1197" s="559"/>
      <c r="J1197" s="559"/>
      <c r="K1197" s="559"/>
      <c r="L1197" s="559"/>
      <c r="M1197" s="559"/>
    </row>
    <row r="1198" spans="3:13" x14ac:dyDescent="0.25">
      <c r="C1198" s="557"/>
      <c r="D1198" s="557"/>
      <c r="E1198" s="557"/>
      <c r="F1198" s="558"/>
      <c r="G1198" s="558"/>
      <c r="H1198" s="293"/>
      <c r="I1198" s="559"/>
      <c r="J1198" s="559"/>
      <c r="K1198" s="559"/>
      <c r="L1198" s="559"/>
      <c r="M1198" s="559"/>
    </row>
    <row r="1199" spans="3:13" x14ac:dyDescent="0.25">
      <c r="C1199" s="557"/>
      <c r="D1199" s="557"/>
      <c r="E1199" s="557"/>
      <c r="F1199" s="558"/>
      <c r="G1199" s="558"/>
      <c r="H1199" s="293"/>
      <c r="I1199" s="559"/>
      <c r="J1199" s="559"/>
      <c r="K1199" s="559"/>
      <c r="L1199" s="559"/>
      <c r="M1199" s="559"/>
    </row>
    <row r="1200" spans="3:13" x14ac:dyDescent="0.25">
      <c r="C1200" s="557"/>
      <c r="D1200" s="557"/>
      <c r="E1200" s="557"/>
      <c r="F1200" s="558"/>
      <c r="G1200" s="558"/>
      <c r="H1200" s="293"/>
      <c r="I1200" s="559"/>
      <c r="J1200" s="559"/>
      <c r="K1200" s="559"/>
      <c r="L1200" s="559"/>
      <c r="M1200" s="559"/>
    </row>
    <row r="1201" spans="3:13" x14ac:dyDescent="0.25">
      <c r="C1201" s="557"/>
      <c r="D1201" s="557"/>
      <c r="E1201" s="557"/>
      <c r="F1201" s="558"/>
      <c r="G1201" s="558"/>
      <c r="H1201" s="293"/>
      <c r="I1201" s="559"/>
      <c r="J1201" s="559"/>
      <c r="K1201" s="559"/>
      <c r="L1201" s="559"/>
      <c r="M1201" s="559"/>
    </row>
    <row r="1202" spans="3:13" x14ac:dyDescent="0.25">
      <c r="C1202" s="557"/>
      <c r="D1202" s="557"/>
      <c r="E1202" s="557"/>
      <c r="F1202" s="558"/>
      <c r="G1202" s="558"/>
      <c r="H1202" s="293"/>
      <c r="I1202" s="559"/>
      <c r="J1202" s="559"/>
      <c r="K1202" s="559"/>
      <c r="L1202" s="559"/>
      <c r="M1202" s="559"/>
    </row>
    <row r="1203" spans="3:13" x14ac:dyDescent="0.25">
      <c r="C1203" s="557"/>
      <c r="D1203" s="557"/>
      <c r="E1203" s="557"/>
      <c r="F1203" s="558"/>
      <c r="G1203" s="558"/>
      <c r="H1203" s="293"/>
      <c r="I1203" s="559"/>
      <c r="J1203" s="559"/>
      <c r="K1203" s="559"/>
      <c r="L1203" s="559"/>
      <c r="M1203" s="559"/>
    </row>
    <row r="1204" spans="3:13" x14ac:dyDescent="0.25">
      <c r="C1204" s="557"/>
      <c r="D1204" s="557"/>
      <c r="E1204" s="557"/>
      <c r="F1204" s="558"/>
      <c r="G1204" s="558"/>
      <c r="H1204" s="293"/>
      <c r="I1204" s="559"/>
      <c r="J1204" s="559"/>
      <c r="K1204" s="559"/>
      <c r="L1204" s="559"/>
      <c r="M1204" s="559"/>
    </row>
    <row r="1205" spans="3:13" x14ac:dyDescent="0.25">
      <c r="C1205" s="557"/>
      <c r="D1205" s="557"/>
      <c r="E1205" s="557"/>
      <c r="F1205" s="558"/>
      <c r="G1205" s="558"/>
      <c r="H1205" s="293"/>
      <c r="I1205" s="559"/>
      <c r="J1205" s="559"/>
      <c r="K1205" s="559"/>
      <c r="L1205" s="559"/>
      <c r="M1205" s="559"/>
    </row>
    <row r="1206" spans="3:13" x14ac:dyDescent="0.25">
      <c r="C1206" s="557"/>
      <c r="D1206" s="557"/>
      <c r="E1206" s="557"/>
      <c r="F1206" s="558"/>
      <c r="G1206" s="558"/>
      <c r="H1206" s="293"/>
      <c r="I1206" s="559"/>
      <c r="J1206" s="559"/>
      <c r="K1206" s="559"/>
      <c r="L1206" s="559"/>
      <c r="M1206" s="559"/>
    </row>
    <row r="1207" spans="3:13" x14ac:dyDescent="0.25">
      <c r="C1207" s="557"/>
      <c r="D1207" s="557"/>
      <c r="E1207" s="557"/>
      <c r="F1207" s="558"/>
      <c r="G1207" s="558"/>
      <c r="H1207" s="293"/>
      <c r="I1207" s="559"/>
      <c r="J1207" s="559"/>
      <c r="K1207" s="559"/>
      <c r="L1207" s="559"/>
      <c r="M1207" s="559"/>
    </row>
    <row r="1208" spans="3:13" x14ac:dyDescent="0.25">
      <c r="C1208" s="557"/>
      <c r="D1208" s="557"/>
      <c r="E1208" s="557"/>
      <c r="F1208" s="558"/>
      <c r="G1208" s="558"/>
      <c r="H1208" s="293"/>
      <c r="I1208" s="559"/>
      <c r="J1208" s="559"/>
      <c r="K1208" s="559"/>
      <c r="L1208" s="559"/>
      <c r="M1208" s="559"/>
    </row>
    <row r="1209" spans="3:13" x14ac:dyDescent="0.25">
      <c r="C1209" s="557"/>
      <c r="D1209" s="557"/>
      <c r="E1209" s="557"/>
      <c r="F1209" s="558"/>
      <c r="G1209" s="558"/>
      <c r="H1209" s="293"/>
      <c r="I1209" s="559"/>
      <c r="J1209" s="559"/>
      <c r="K1209" s="559"/>
      <c r="L1209" s="559"/>
      <c r="M1209" s="559"/>
    </row>
    <row r="1210" spans="3:13" x14ac:dyDescent="0.25">
      <c r="C1210" s="557"/>
      <c r="D1210" s="557"/>
      <c r="E1210" s="557"/>
      <c r="F1210" s="558"/>
      <c r="G1210" s="558"/>
      <c r="H1210" s="293"/>
      <c r="I1210" s="559"/>
      <c r="J1210" s="559"/>
      <c r="K1210" s="559"/>
      <c r="L1210" s="559"/>
      <c r="M1210" s="559"/>
    </row>
    <row r="1211" spans="3:13" x14ac:dyDescent="0.25">
      <c r="C1211" s="557"/>
      <c r="D1211" s="557"/>
      <c r="E1211" s="557"/>
      <c r="F1211" s="558"/>
      <c r="G1211" s="558"/>
      <c r="H1211" s="293"/>
      <c r="I1211" s="559"/>
      <c r="J1211" s="559"/>
      <c r="K1211" s="559"/>
      <c r="L1211" s="559"/>
      <c r="M1211" s="559"/>
    </row>
    <row r="1212" spans="3:13" x14ac:dyDescent="0.25">
      <c r="C1212" s="557"/>
      <c r="D1212" s="557"/>
      <c r="E1212" s="557"/>
      <c r="F1212" s="558"/>
      <c r="G1212" s="558"/>
      <c r="H1212" s="293"/>
      <c r="I1212" s="559"/>
      <c r="J1212" s="559"/>
      <c r="K1212" s="559"/>
      <c r="L1212" s="559"/>
      <c r="M1212" s="559"/>
    </row>
    <row r="1213" spans="3:13" x14ac:dyDescent="0.25">
      <c r="C1213" s="557"/>
      <c r="D1213" s="557"/>
      <c r="E1213" s="557"/>
      <c r="F1213" s="558"/>
      <c r="G1213" s="558"/>
      <c r="H1213" s="293"/>
      <c r="I1213" s="559"/>
      <c r="J1213" s="559"/>
      <c r="K1213" s="559"/>
      <c r="L1213" s="559"/>
      <c r="M1213" s="559"/>
    </row>
    <row r="1214" spans="3:13" x14ac:dyDescent="0.25">
      <c r="C1214" s="557"/>
      <c r="D1214" s="557"/>
      <c r="E1214" s="557"/>
      <c r="F1214" s="558"/>
      <c r="G1214" s="558"/>
      <c r="H1214" s="293"/>
      <c r="I1214" s="559"/>
      <c r="J1214" s="559"/>
      <c r="K1214" s="559"/>
      <c r="L1214" s="559"/>
      <c r="M1214" s="559"/>
    </row>
    <row r="1215" spans="3:13" x14ac:dyDescent="0.25">
      <c r="C1215" s="557"/>
      <c r="D1215" s="557"/>
      <c r="E1215" s="557"/>
      <c r="F1215" s="558"/>
      <c r="G1215" s="558"/>
      <c r="H1215" s="293"/>
      <c r="I1215" s="559"/>
      <c r="J1215" s="559"/>
      <c r="K1215" s="559"/>
      <c r="L1215" s="559"/>
      <c r="M1215" s="559"/>
    </row>
    <row r="1216" spans="3:13" x14ac:dyDescent="0.25">
      <c r="C1216" s="557"/>
      <c r="D1216" s="557"/>
      <c r="E1216" s="557"/>
      <c r="F1216" s="558"/>
      <c r="G1216" s="558"/>
      <c r="H1216" s="293"/>
      <c r="I1216" s="559"/>
      <c r="J1216" s="559"/>
      <c r="K1216" s="559"/>
      <c r="L1216" s="559"/>
      <c r="M1216" s="559"/>
    </row>
    <row r="1217" spans="3:13" x14ac:dyDescent="0.25">
      <c r="C1217" s="557"/>
      <c r="D1217" s="557"/>
      <c r="E1217" s="557"/>
      <c r="F1217" s="558"/>
      <c r="G1217" s="558"/>
      <c r="H1217" s="293"/>
      <c r="I1217" s="559"/>
      <c r="J1217" s="559"/>
      <c r="K1217" s="559"/>
      <c r="L1217" s="559"/>
      <c r="M1217" s="559"/>
    </row>
    <row r="1218" spans="3:13" x14ac:dyDescent="0.25">
      <c r="C1218" s="557"/>
      <c r="D1218" s="557"/>
      <c r="E1218" s="557"/>
      <c r="F1218" s="558"/>
      <c r="G1218" s="558"/>
      <c r="H1218" s="293"/>
      <c r="I1218" s="559"/>
      <c r="J1218" s="559"/>
      <c r="K1218" s="559"/>
      <c r="L1218" s="559"/>
      <c r="M1218" s="559"/>
    </row>
    <row r="1219" spans="3:13" x14ac:dyDescent="0.25">
      <c r="C1219" s="557"/>
      <c r="D1219" s="557"/>
      <c r="E1219" s="557"/>
      <c r="F1219" s="558"/>
      <c r="G1219" s="558"/>
      <c r="H1219" s="293"/>
      <c r="I1219" s="559"/>
      <c r="J1219" s="559"/>
      <c r="K1219" s="559"/>
      <c r="L1219" s="559"/>
      <c r="M1219" s="559"/>
    </row>
    <row r="1220" spans="3:13" x14ac:dyDescent="0.25">
      <c r="C1220" s="557"/>
      <c r="D1220" s="557"/>
      <c r="E1220" s="557"/>
      <c r="F1220" s="558"/>
      <c r="G1220" s="558"/>
      <c r="H1220" s="293"/>
      <c r="I1220" s="559"/>
      <c r="J1220" s="559"/>
      <c r="K1220" s="559"/>
      <c r="L1220" s="559"/>
      <c r="M1220" s="559"/>
    </row>
    <row r="1221" spans="3:13" x14ac:dyDescent="0.25">
      <c r="C1221" s="557"/>
      <c r="D1221" s="557"/>
      <c r="E1221" s="557"/>
      <c r="F1221" s="558"/>
      <c r="G1221" s="558"/>
      <c r="H1221" s="293"/>
      <c r="I1221" s="559"/>
      <c r="J1221" s="559"/>
      <c r="K1221" s="559"/>
      <c r="L1221" s="559"/>
      <c r="M1221" s="559"/>
    </row>
    <row r="1222" spans="3:13" x14ac:dyDescent="0.25">
      <c r="C1222" s="557"/>
      <c r="D1222" s="557"/>
      <c r="E1222" s="557"/>
      <c r="F1222" s="558"/>
      <c r="G1222" s="558"/>
      <c r="H1222" s="293"/>
      <c r="I1222" s="559"/>
      <c r="J1222" s="559"/>
      <c r="K1222" s="559"/>
      <c r="L1222" s="559"/>
      <c r="M1222" s="559"/>
    </row>
    <row r="1223" spans="3:13" x14ac:dyDescent="0.25">
      <c r="C1223" s="557"/>
      <c r="D1223" s="557"/>
      <c r="E1223" s="557"/>
      <c r="F1223" s="558"/>
      <c r="G1223" s="558"/>
      <c r="H1223" s="293"/>
      <c r="I1223" s="559"/>
      <c r="J1223" s="559"/>
      <c r="K1223" s="559"/>
      <c r="L1223" s="559"/>
      <c r="M1223" s="559"/>
    </row>
    <row r="1224" spans="3:13" x14ac:dyDescent="0.25">
      <c r="C1224" s="557"/>
      <c r="D1224" s="557"/>
      <c r="E1224" s="557"/>
      <c r="F1224" s="558"/>
      <c r="G1224" s="558"/>
      <c r="H1224" s="293"/>
      <c r="I1224" s="559"/>
      <c r="J1224" s="559"/>
      <c r="K1224" s="559"/>
      <c r="L1224" s="559"/>
      <c r="M1224" s="559"/>
    </row>
    <row r="1225" spans="3:13" x14ac:dyDescent="0.25">
      <c r="C1225" s="557"/>
      <c r="D1225" s="557"/>
      <c r="E1225" s="557"/>
      <c r="F1225" s="558"/>
      <c r="G1225" s="558"/>
      <c r="H1225" s="293"/>
      <c r="I1225" s="559"/>
      <c r="J1225" s="559"/>
      <c r="K1225" s="559"/>
      <c r="L1225" s="559"/>
      <c r="M1225" s="559"/>
    </row>
    <row r="1226" spans="3:13" x14ac:dyDescent="0.25">
      <c r="C1226" s="557"/>
      <c r="D1226" s="557"/>
      <c r="E1226" s="557"/>
      <c r="F1226" s="558"/>
      <c r="G1226" s="558"/>
      <c r="H1226" s="293"/>
      <c r="I1226" s="559"/>
      <c r="J1226" s="559"/>
      <c r="K1226" s="559"/>
      <c r="L1226" s="559"/>
      <c r="M1226" s="559"/>
    </row>
    <row r="1227" spans="3:13" x14ac:dyDescent="0.25">
      <c r="C1227" s="557"/>
      <c r="D1227" s="557"/>
      <c r="E1227" s="557"/>
      <c r="F1227" s="558"/>
      <c r="G1227" s="558"/>
      <c r="H1227" s="293"/>
      <c r="I1227" s="559"/>
      <c r="J1227" s="559"/>
      <c r="K1227" s="559"/>
      <c r="L1227" s="559"/>
      <c r="M1227" s="559"/>
    </row>
    <row r="1228" spans="3:13" x14ac:dyDescent="0.25">
      <c r="C1228" s="557"/>
      <c r="D1228" s="557"/>
      <c r="E1228" s="557"/>
      <c r="F1228" s="558"/>
      <c r="G1228" s="558"/>
      <c r="H1228" s="293"/>
      <c r="I1228" s="559"/>
      <c r="J1228" s="559"/>
      <c r="K1228" s="559"/>
      <c r="L1228" s="559"/>
      <c r="M1228" s="559"/>
    </row>
    <row r="1229" spans="3:13" x14ac:dyDescent="0.25">
      <c r="C1229" s="557"/>
      <c r="D1229" s="557"/>
      <c r="E1229" s="557"/>
      <c r="F1229" s="558"/>
      <c r="G1229" s="558"/>
      <c r="H1229" s="293"/>
      <c r="I1229" s="559"/>
      <c r="J1229" s="559"/>
      <c r="K1229" s="559"/>
      <c r="L1229" s="559"/>
      <c r="M1229" s="559"/>
    </row>
    <row r="1230" spans="3:13" x14ac:dyDescent="0.25">
      <c r="C1230" s="557"/>
      <c r="D1230" s="557"/>
      <c r="E1230" s="557"/>
      <c r="F1230" s="558"/>
      <c r="G1230" s="558"/>
      <c r="H1230" s="293"/>
      <c r="I1230" s="559"/>
      <c r="J1230" s="559"/>
      <c r="K1230" s="559"/>
      <c r="L1230" s="559"/>
      <c r="M1230" s="559"/>
    </row>
    <row r="1231" spans="3:13" x14ac:dyDescent="0.25">
      <c r="C1231" s="557"/>
      <c r="D1231" s="557"/>
      <c r="E1231" s="557"/>
      <c r="F1231" s="558"/>
      <c r="G1231" s="558"/>
      <c r="H1231" s="293"/>
      <c r="I1231" s="559"/>
      <c r="J1231" s="559"/>
      <c r="K1231" s="559"/>
      <c r="L1231" s="559"/>
      <c r="M1231" s="559"/>
    </row>
    <row r="1232" spans="3:13" x14ac:dyDescent="0.25">
      <c r="C1232" s="557"/>
      <c r="D1232" s="557"/>
      <c r="E1232" s="557"/>
      <c r="F1232" s="558"/>
      <c r="G1232" s="558"/>
      <c r="H1232" s="293"/>
      <c r="I1232" s="559"/>
      <c r="J1232" s="559"/>
      <c r="K1232" s="559"/>
      <c r="L1232" s="559"/>
      <c r="M1232" s="559"/>
    </row>
    <row r="1233" spans="3:13" x14ac:dyDescent="0.25">
      <c r="C1233" s="557"/>
      <c r="D1233" s="557"/>
      <c r="E1233" s="557"/>
      <c r="F1233" s="558"/>
      <c r="G1233" s="558"/>
      <c r="H1233" s="293"/>
      <c r="I1233" s="559"/>
      <c r="J1233" s="559"/>
      <c r="K1233" s="559"/>
      <c r="L1233" s="559"/>
      <c r="M1233" s="559"/>
    </row>
    <row r="1234" spans="3:13" x14ac:dyDescent="0.25">
      <c r="C1234" s="557"/>
      <c r="D1234" s="557"/>
      <c r="E1234" s="557"/>
      <c r="F1234" s="558"/>
      <c r="G1234" s="558"/>
      <c r="H1234" s="293"/>
      <c r="I1234" s="559"/>
      <c r="J1234" s="559"/>
      <c r="K1234" s="559"/>
      <c r="L1234" s="559"/>
      <c r="M1234" s="559"/>
    </row>
    <row r="1235" spans="3:13" x14ac:dyDescent="0.25">
      <c r="C1235" s="557"/>
      <c r="D1235" s="557"/>
      <c r="E1235" s="557"/>
      <c r="F1235" s="558"/>
      <c r="G1235" s="558"/>
      <c r="H1235" s="293"/>
      <c r="I1235" s="559"/>
      <c r="J1235" s="559"/>
      <c r="K1235" s="559"/>
      <c r="L1235" s="559"/>
      <c r="M1235" s="559"/>
    </row>
    <row r="1236" spans="3:13" x14ac:dyDescent="0.25">
      <c r="C1236" s="557"/>
      <c r="D1236" s="557"/>
      <c r="E1236" s="557"/>
      <c r="F1236" s="558"/>
      <c r="G1236" s="558"/>
      <c r="H1236" s="293"/>
      <c r="I1236" s="559"/>
      <c r="J1236" s="559"/>
      <c r="K1236" s="559"/>
      <c r="L1236" s="559"/>
      <c r="M1236" s="559"/>
    </row>
    <row r="1237" spans="3:13" x14ac:dyDescent="0.25">
      <c r="C1237" s="557"/>
      <c r="D1237" s="557"/>
      <c r="E1237" s="557"/>
      <c r="F1237" s="558"/>
      <c r="G1237" s="558"/>
      <c r="H1237" s="293"/>
      <c r="I1237" s="559"/>
      <c r="J1237" s="559"/>
      <c r="K1237" s="559"/>
      <c r="L1237" s="559"/>
      <c r="M1237" s="559"/>
    </row>
    <row r="1238" spans="3:13" x14ac:dyDescent="0.25">
      <c r="C1238" s="557"/>
      <c r="D1238" s="557"/>
      <c r="E1238" s="557"/>
      <c r="F1238" s="558"/>
      <c r="G1238" s="558"/>
      <c r="H1238" s="293"/>
      <c r="I1238" s="559"/>
      <c r="J1238" s="559"/>
      <c r="K1238" s="559"/>
      <c r="L1238" s="559"/>
      <c r="M1238" s="559"/>
    </row>
    <row r="1239" spans="3:13" x14ac:dyDescent="0.25">
      <c r="C1239" s="557"/>
      <c r="D1239" s="557"/>
      <c r="E1239" s="557"/>
      <c r="F1239" s="558"/>
      <c r="G1239" s="558"/>
      <c r="H1239" s="293"/>
      <c r="I1239" s="559"/>
      <c r="J1239" s="559"/>
      <c r="K1239" s="559"/>
      <c r="L1239" s="559"/>
      <c r="M1239" s="559"/>
    </row>
    <row r="1240" spans="3:13" x14ac:dyDescent="0.25">
      <c r="C1240" s="557"/>
      <c r="D1240" s="557"/>
      <c r="E1240" s="557"/>
      <c r="F1240" s="558"/>
      <c r="G1240" s="558"/>
      <c r="H1240" s="293"/>
      <c r="I1240" s="559"/>
      <c r="J1240" s="559"/>
      <c r="K1240" s="559"/>
      <c r="L1240" s="559"/>
      <c r="M1240" s="559"/>
    </row>
    <row r="1241" spans="3:13" x14ac:dyDescent="0.25">
      <c r="C1241" s="557"/>
      <c r="D1241" s="557"/>
      <c r="E1241" s="557"/>
      <c r="F1241" s="558"/>
      <c r="G1241" s="558"/>
      <c r="H1241" s="293"/>
      <c r="I1241" s="559"/>
      <c r="J1241" s="559"/>
      <c r="K1241" s="559"/>
      <c r="L1241" s="559"/>
      <c r="M1241" s="559"/>
    </row>
    <row r="1242" spans="3:13" x14ac:dyDescent="0.25">
      <c r="C1242" s="557"/>
      <c r="D1242" s="557"/>
      <c r="E1242" s="557"/>
      <c r="F1242" s="558"/>
      <c r="G1242" s="558"/>
      <c r="H1242" s="293"/>
      <c r="I1242" s="559"/>
      <c r="J1242" s="559"/>
      <c r="K1242" s="559"/>
      <c r="L1242" s="559"/>
      <c r="M1242" s="559"/>
    </row>
    <row r="1243" spans="3:13" x14ac:dyDescent="0.25">
      <c r="C1243" s="557"/>
      <c r="D1243" s="557"/>
      <c r="E1243" s="557"/>
      <c r="F1243" s="558"/>
      <c r="G1243" s="558"/>
      <c r="H1243" s="293"/>
      <c r="I1243" s="559"/>
      <c r="J1243" s="559"/>
      <c r="K1243" s="559"/>
      <c r="L1243" s="559"/>
      <c r="M1243" s="559"/>
    </row>
    <row r="1244" spans="3:13" x14ac:dyDescent="0.25">
      <c r="C1244" s="557"/>
      <c r="D1244" s="557"/>
      <c r="E1244" s="557"/>
      <c r="F1244" s="558"/>
      <c r="G1244" s="558"/>
      <c r="H1244" s="293"/>
      <c r="I1244" s="559"/>
      <c r="J1244" s="559"/>
      <c r="K1244" s="559"/>
      <c r="L1244" s="559"/>
      <c r="M1244" s="559"/>
    </row>
    <row r="1245" spans="3:13" x14ac:dyDescent="0.25">
      <c r="C1245" s="557"/>
      <c r="D1245" s="557"/>
      <c r="E1245" s="557"/>
      <c r="F1245" s="558"/>
      <c r="G1245" s="558"/>
      <c r="H1245" s="293"/>
      <c r="I1245" s="559"/>
      <c r="J1245" s="559"/>
      <c r="K1245" s="559"/>
      <c r="L1245" s="559"/>
      <c r="M1245" s="559"/>
    </row>
    <row r="1246" spans="3:13" x14ac:dyDescent="0.25">
      <c r="C1246" s="557"/>
      <c r="D1246" s="557"/>
      <c r="E1246" s="557"/>
      <c r="F1246" s="558"/>
      <c r="G1246" s="558"/>
      <c r="H1246" s="293"/>
      <c r="I1246" s="559"/>
      <c r="J1246" s="559"/>
      <c r="K1246" s="559"/>
      <c r="L1246" s="559"/>
      <c r="M1246" s="559"/>
    </row>
    <row r="1247" spans="3:13" x14ac:dyDescent="0.25">
      <c r="C1247" s="557"/>
      <c r="D1247" s="557"/>
      <c r="E1247" s="557"/>
      <c r="F1247" s="558"/>
      <c r="G1247" s="558"/>
      <c r="H1247" s="293"/>
      <c r="I1247" s="559"/>
      <c r="J1247" s="559"/>
      <c r="K1247" s="559"/>
      <c r="L1247" s="559"/>
      <c r="M1247" s="559"/>
    </row>
    <row r="1248" spans="3:13" x14ac:dyDescent="0.25">
      <c r="C1248" s="557"/>
      <c r="D1248" s="557"/>
      <c r="E1248" s="557"/>
      <c r="F1248" s="558"/>
      <c r="G1248" s="558"/>
      <c r="H1248" s="293"/>
      <c r="I1248" s="559"/>
      <c r="J1248" s="559"/>
      <c r="K1248" s="559"/>
      <c r="L1248" s="559"/>
      <c r="M1248" s="559"/>
    </row>
    <row r="1249" spans="3:13" x14ac:dyDescent="0.25">
      <c r="C1249" s="557"/>
      <c r="D1249" s="557"/>
      <c r="E1249" s="557"/>
      <c r="F1249" s="558"/>
      <c r="G1249" s="558"/>
      <c r="H1249" s="293"/>
      <c r="I1249" s="559"/>
      <c r="J1249" s="559"/>
      <c r="K1249" s="559"/>
      <c r="L1249" s="559"/>
      <c r="M1249" s="559"/>
    </row>
    <row r="1250" spans="3:13" x14ac:dyDescent="0.25">
      <c r="C1250" s="557"/>
      <c r="D1250" s="557"/>
      <c r="E1250" s="557"/>
      <c r="F1250" s="558"/>
      <c r="G1250" s="558"/>
      <c r="H1250" s="293"/>
      <c r="I1250" s="559"/>
      <c r="J1250" s="559"/>
      <c r="K1250" s="559"/>
      <c r="L1250" s="559"/>
      <c r="M1250" s="559"/>
    </row>
    <row r="1251" spans="3:13" x14ac:dyDescent="0.25">
      <c r="C1251" s="557"/>
      <c r="D1251" s="557"/>
      <c r="E1251" s="557"/>
      <c r="F1251" s="558"/>
      <c r="G1251" s="558"/>
      <c r="H1251" s="293"/>
      <c r="I1251" s="559"/>
      <c r="J1251" s="559"/>
      <c r="K1251" s="559"/>
      <c r="L1251" s="559"/>
      <c r="M1251" s="559"/>
    </row>
    <row r="1252" spans="3:13" x14ac:dyDescent="0.25">
      <c r="C1252" s="557"/>
      <c r="D1252" s="557"/>
      <c r="E1252" s="557"/>
      <c r="F1252" s="558"/>
      <c r="G1252" s="558"/>
      <c r="H1252" s="293"/>
      <c r="I1252" s="559"/>
      <c r="J1252" s="559"/>
      <c r="K1252" s="559"/>
      <c r="L1252" s="559"/>
      <c r="M1252" s="559"/>
    </row>
    <row r="1253" spans="3:13" x14ac:dyDescent="0.25">
      <c r="C1253" s="557"/>
      <c r="D1253" s="557"/>
      <c r="E1253" s="557"/>
      <c r="F1253" s="558"/>
      <c r="G1253" s="558"/>
      <c r="H1253" s="293"/>
      <c r="I1253" s="559"/>
      <c r="J1253" s="559"/>
      <c r="K1253" s="559"/>
      <c r="L1253" s="559"/>
      <c r="M1253" s="559"/>
    </row>
    <row r="1254" spans="3:13" x14ac:dyDescent="0.25">
      <c r="C1254" s="557"/>
      <c r="D1254" s="557"/>
      <c r="E1254" s="557"/>
      <c r="F1254" s="558"/>
      <c r="G1254" s="558"/>
      <c r="H1254" s="293"/>
      <c r="I1254" s="559"/>
      <c r="J1254" s="559"/>
      <c r="K1254" s="559"/>
      <c r="L1254" s="559"/>
      <c r="M1254" s="559"/>
    </row>
    <row r="1255" spans="3:13" x14ac:dyDescent="0.25">
      <c r="C1255" s="557"/>
      <c r="D1255" s="557"/>
      <c r="E1255" s="557"/>
      <c r="F1255" s="558"/>
      <c r="G1255" s="558"/>
      <c r="H1255" s="293"/>
      <c r="I1255" s="559"/>
      <c r="J1255" s="559"/>
      <c r="K1255" s="559"/>
      <c r="L1255" s="559"/>
      <c r="M1255" s="559"/>
    </row>
    <row r="1256" spans="3:13" x14ac:dyDescent="0.25">
      <c r="C1256" s="557"/>
      <c r="D1256" s="557"/>
      <c r="E1256" s="557"/>
      <c r="F1256" s="558"/>
      <c r="G1256" s="558"/>
      <c r="H1256" s="293"/>
      <c r="I1256" s="559"/>
      <c r="J1256" s="559"/>
      <c r="K1256" s="559"/>
      <c r="L1256" s="559"/>
      <c r="M1256" s="559"/>
    </row>
    <row r="1257" spans="3:13" x14ac:dyDescent="0.25">
      <c r="C1257" s="557"/>
      <c r="D1257" s="557"/>
      <c r="E1257" s="557"/>
      <c r="F1257" s="558"/>
      <c r="G1257" s="558"/>
      <c r="H1257" s="293"/>
      <c r="I1257" s="559"/>
      <c r="J1257" s="559"/>
      <c r="K1257" s="559"/>
      <c r="L1257" s="559"/>
      <c r="M1257" s="559"/>
    </row>
    <row r="1258" spans="3:13" x14ac:dyDescent="0.25">
      <c r="C1258" s="557"/>
      <c r="D1258" s="557"/>
      <c r="E1258" s="557"/>
      <c r="F1258" s="558"/>
      <c r="G1258" s="558"/>
      <c r="H1258" s="293"/>
      <c r="I1258" s="559"/>
      <c r="J1258" s="559"/>
      <c r="K1258" s="559"/>
      <c r="L1258" s="559"/>
      <c r="M1258" s="559"/>
    </row>
    <row r="1259" spans="3:13" x14ac:dyDescent="0.25">
      <c r="C1259" s="557"/>
      <c r="D1259" s="557"/>
      <c r="E1259" s="557"/>
      <c r="F1259" s="558"/>
      <c r="G1259" s="558"/>
      <c r="H1259" s="293"/>
      <c r="I1259" s="559"/>
      <c r="J1259" s="559"/>
      <c r="K1259" s="559"/>
      <c r="L1259" s="559"/>
      <c r="M1259" s="559"/>
    </row>
    <row r="1260" spans="3:13" x14ac:dyDescent="0.25">
      <c r="C1260" s="557"/>
      <c r="D1260" s="557"/>
      <c r="E1260" s="557"/>
      <c r="F1260" s="558"/>
      <c r="G1260" s="558"/>
      <c r="H1260" s="293"/>
      <c r="I1260" s="559"/>
      <c r="J1260" s="559"/>
      <c r="K1260" s="559"/>
      <c r="L1260" s="559"/>
      <c r="M1260" s="559"/>
    </row>
    <row r="1261" spans="3:13" x14ac:dyDescent="0.25">
      <c r="C1261" s="557"/>
      <c r="D1261" s="557"/>
      <c r="E1261" s="557"/>
      <c r="F1261" s="558"/>
      <c r="G1261" s="558"/>
      <c r="H1261" s="293"/>
      <c r="I1261" s="559"/>
      <c r="J1261" s="559"/>
      <c r="K1261" s="559"/>
      <c r="L1261" s="559"/>
      <c r="M1261" s="559"/>
    </row>
    <row r="1262" spans="3:13" x14ac:dyDescent="0.25">
      <c r="C1262" s="557"/>
      <c r="D1262" s="557"/>
      <c r="E1262" s="557"/>
      <c r="F1262" s="558"/>
      <c r="G1262" s="558"/>
      <c r="H1262" s="293"/>
      <c r="I1262" s="559"/>
      <c r="J1262" s="559"/>
      <c r="K1262" s="559"/>
      <c r="L1262" s="559"/>
      <c r="M1262" s="559"/>
    </row>
    <row r="1263" spans="3:13" x14ac:dyDescent="0.25">
      <c r="C1263" s="557"/>
      <c r="D1263" s="557"/>
      <c r="E1263" s="557"/>
      <c r="F1263" s="558"/>
      <c r="G1263" s="558"/>
      <c r="H1263" s="293"/>
      <c r="I1263" s="559"/>
      <c r="J1263" s="559"/>
      <c r="K1263" s="559"/>
      <c r="L1263" s="559"/>
      <c r="M1263" s="559"/>
    </row>
    <row r="1264" spans="3:13" x14ac:dyDescent="0.25">
      <c r="C1264" s="557"/>
      <c r="D1264" s="557"/>
      <c r="E1264" s="557"/>
      <c r="F1264" s="558"/>
      <c r="G1264" s="558"/>
      <c r="H1264" s="293"/>
      <c r="I1264" s="559"/>
      <c r="J1264" s="559"/>
      <c r="K1264" s="559"/>
      <c r="L1264" s="559"/>
      <c r="M1264" s="559"/>
    </row>
    <row r="1265" spans="3:13" x14ac:dyDescent="0.25">
      <c r="C1265" s="557"/>
      <c r="D1265" s="557"/>
      <c r="E1265" s="557"/>
      <c r="F1265" s="558"/>
      <c r="G1265" s="558"/>
      <c r="H1265" s="293"/>
      <c r="I1265" s="559"/>
      <c r="J1265" s="559"/>
      <c r="K1265" s="559"/>
      <c r="L1265" s="559"/>
      <c r="M1265" s="559"/>
    </row>
    <row r="1266" spans="3:13" x14ac:dyDescent="0.25">
      <c r="C1266" s="557"/>
      <c r="D1266" s="557"/>
      <c r="E1266" s="557"/>
      <c r="F1266" s="558"/>
      <c r="G1266" s="558"/>
      <c r="H1266" s="293"/>
      <c r="I1266" s="559"/>
      <c r="J1266" s="559"/>
      <c r="K1266" s="559"/>
      <c r="L1266" s="559"/>
      <c r="M1266" s="559"/>
    </row>
    <row r="1267" spans="3:13" x14ac:dyDescent="0.25">
      <c r="C1267" s="557"/>
      <c r="D1267" s="557"/>
      <c r="E1267" s="557"/>
      <c r="F1267" s="558"/>
      <c r="G1267" s="558"/>
      <c r="H1267" s="293"/>
      <c r="I1267" s="559"/>
      <c r="J1267" s="559"/>
      <c r="K1267" s="559"/>
      <c r="L1267" s="559"/>
      <c r="M1267" s="559"/>
    </row>
    <row r="1268" spans="3:13" x14ac:dyDescent="0.25">
      <c r="C1268" s="557"/>
      <c r="D1268" s="557"/>
      <c r="E1268" s="557"/>
      <c r="F1268" s="558"/>
      <c r="G1268" s="558"/>
      <c r="H1268" s="293"/>
      <c r="I1268" s="559"/>
      <c r="J1268" s="559"/>
      <c r="K1268" s="559"/>
      <c r="L1268" s="559"/>
      <c r="M1268" s="559"/>
    </row>
    <row r="1269" spans="3:13" x14ac:dyDescent="0.25">
      <c r="C1269" s="557"/>
      <c r="D1269" s="557"/>
      <c r="E1269" s="557"/>
      <c r="F1269" s="558"/>
      <c r="G1269" s="558"/>
      <c r="H1269" s="293"/>
      <c r="I1269" s="559"/>
      <c r="J1269" s="559"/>
      <c r="K1269" s="559"/>
      <c r="L1269" s="559"/>
      <c r="M1269" s="559"/>
    </row>
    <row r="1270" spans="3:13" x14ac:dyDescent="0.25">
      <c r="C1270" s="557"/>
      <c r="D1270" s="557"/>
      <c r="E1270" s="557"/>
      <c r="F1270" s="558"/>
      <c r="G1270" s="558"/>
      <c r="H1270" s="293"/>
      <c r="I1270" s="559"/>
      <c r="J1270" s="559"/>
      <c r="K1270" s="559"/>
      <c r="L1270" s="559"/>
      <c r="M1270" s="559"/>
    </row>
    <row r="1271" spans="3:13" x14ac:dyDescent="0.25">
      <c r="C1271" s="557"/>
      <c r="D1271" s="557"/>
      <c r="E1271" s="557"/>
      <c r="F1271" s="558"/>
      <c r="G1271" s="558"/>
      <c r="H1271" s="293"/>
      <c r="I1271" s="559"/>
      <c r="J1271" s="559"/>
      <c r="K1271" s="559"/>
      <c r="L1271" s="559"/>
      <c r="M1271" s="559"/>
    </row>
    <row r="1272" spans="3:13" x14ac:dyDescent="0.25">
      <c r="C1272" s="557"/>
      <c r="D1272" s="557"/>
      <c r="E1272" s="557"/>
      <c r="F1272" s="558"/>
      <c r="G1272" s="558"/>
      <c r="H1272" s="293"/>
      <c r="I1272" s="559"/>
      <c r="J1272" s="559"/>
      <c r="K1272" s="559"/>
      <c r="L1272" s="559"/>
      <c r="M1272" s="559"/>
    </row>
    <row r="1273" spans="3:13" x14ac:dyDescent="0.25">
      <c r="C1273" s="557"/>
      <c r="D1273" s="557"/>
      <c r="E1273" s="557"/>
      <c r="F1273" s="558"/>
      <c r="G1273" s="558"/>
      <c r="H1273" s="293"/>
      <c r="I1273" s="559"/>
      <c r="J1273" s="559"/>
      <c r="K1273" s="559"/>
      <c r="L1273" s="559"/>
      <c r="M1273" s="559"/>
    </row>
    <row r="1274" spans="3:13" x14ac:dyDescent="0.25">
      <c r="C1274" s="557"/>
      <c r="D1274" s="557"/>
      <c r="E1274" s="557"/>
      <c r="F1274" s="558"/>
      <c r="G1274" s="558"/>
      <c r="H1274" s="293"/>
      <c r="I1274" s="559"/>
      <c r="J1274" s="559"/>
      <c r="K1274" s="559"/>
      <c r="L1274" s="559"/>
      <c r="M1274" s="559"/>
    </row>
    <row r="1275" spans="3:13" x14ac:dyDescent="0.25">
      <c r="C1275" s="557"/>
      <c r="D1275" s="557"/>
      <c r="E1275" s="557"/>
      <c r="F1275" s="558"/>
      <c r="G1275" s="558"/>
      <c r="H1275" s="293"/>
      <c r="I1275" s="559"/>
      <c r="J1275" s="559"/>
      <c r="K1275" s="559"/>
      <c r="L1275" s="559"/>
      <c r="M1275" s="559"/>
    </row>
    <row r="1276" spans="3:13" x14ac:dyDescent="0.25">
      <c r="C1276" s="557"/>
      <c r="D1276" s="557"/>
      <c r="E1276" s="557"/>
      <c r="F1276" s="558"/>
      <c r="G1276" s="558"/>
      <c r="H1276" s="293"/>
      <c r="I1276" s="559"/>
      <c r="J1276" s="559"/>
      <c r="K1276" s="559"/>
      <c r="L1276" s="559"/>
      <c r="M1276" s="559"/>
    </row>
    <row r="1277" spans="3:13" x14ac:dyDescent="0.25">
      <c r="C1277" s="557"/>
      <c r="D1277" s="557"/>
      <c r="E1277" s="557"/>
      <c r="F1277" s="558"/>
      <c r="G1277" s="558"/>
      <c r="H1277" s="293"/>
      <c r="I1277" s="559"/>
      <c r="J1277" s="559"/>
      <c r="K1277" s="559"/>
      <c r="L1277" s="559"/>
      <c r="M1277" s="559"/>
    </row>
    <row r="1278" spans="3:13" x14ac:dyDescent="0.25">
      <c r="C1278" s="557"/>
      <c r="D1278" s="557"/>
      <c r="E1278" s="557"/>
      <c r="F1278" s="558"/>
      <c r="G1278" s="558"/>
      <c r="H1278" s="293"/>
      <c r="I1278" s="559"/>
      <c r="J1278" s="559"/>
      <c r="K1278" s="559"/>
      <c r="L1278" s="559"/>
      <c r="M1278" s="559"/>
    </row>
    <row r="1279" spans="3:13" x14ac:dyDescent="0.25">
      <c r="C1279" s="557"/>
      <c r="D1279" s="557"/>
      <c r="E1279" s="557"/>
      <c r="F1279" s="558"/>
      <c r="G1279" s="558"/>
      <c r="H1279" s="293"/>
      <c r="I1279" s="559"/>
      <c r="J1279" s="559"/>
      <c r="K1279" s="559"/>
      <c r="L1279" s="559"/>
      <c r="M1279" s="559"/>
    </row>
    <row r="1280" spans="3:13" x14ac:dyDescent="0.25">
      <c r="C1280" s="557"/>
      <c r="D1280" s="557"/>
      <c r="E1280" s="557"/>
      <c r="F1280" s="558"/>
      <c r="G1280" s="558"/>
      <c r="H1280" s="293"/>
      <c r="I1280" s="559"/>
      <c r="J1280" s="559"/>
      <c r="K1280" s="559"/>
      <c r="L1280" s="559"/>
      <c r="M1280" s="559"/>
    </row>
    <row r="1281" spans="3:13" x14ac:dyDescent="0.25">
      <c r="C1281" s="557"/>
      <c r="D1281" s="557"/>
      <c r="E1281" s="557"/>
      <c r="F1281" s="558"/>
      <c r="G1281" s="558"/>
      <c r="H1281" s="293"/>
      <c r="I1281" s="559"/>
      <c r="J1281" s="559"/>
      <c r="K1281" s="559"/>
      <c r="L1281" s="559"/>
      <c r="M1281" s="559"/>
    </row>
    <row r="1282" spans="3:13" x14ac:dyDescent="0.25">
      <c r="C1282" s="557"/>
      <c r="D1282" s="557"/>
      <c r="E1282" s="557"/>
      <c r="F1282" s="558"/>
      <c r="G1282" s="558"/>
      <c r="H1282" s="293"/>
      <c r="I1282" s="559"/>
      <c r="J1282" s="559"/>
      <c r="K1282" s="559"/>
      <c r="L1282" s="559"/>
      <c r="M1282" s="559"/>
    </row>
    <row r="1283" spans="3:13" x14ac:dyDescent="0.25">
      <c r="C1283" s="557"/>
      <c r="D1283" s="557"/>
      <c r="E1283" s="557"/>
      <c r="F1283" s="558"/>
      <c r="G1283" s="558"/>
      <c r="H1283" s="293"/>
      <c r="I1283" s="559"/>
      <c r="J1283" s="559"/>
      <c r="K1283" s="559"/>
      <c r="L1283" s="559"/>
      <c r="M1283" s="559"/>
    </row>
    <row r="1284" spans="3:13" x14ac:dyDescent="0.25">
      <c r="C1284" s="557"/>
      <c r="D1284" s="557"/>
      <c r="E1284" s="557"/>
      <c r="F1284" s="558"/>
      <c r="G1284" s="558"/>
      <c r="H1284" s="293"/>
      <c r="I1284" s="559"/>
      <c r="J1284" s="559"/>
      <c r="K1284" s="559"/>
      <c r="L1284" s="559"/>
      <c r="M1284" s="559"/>
    </row>
    <row r="1285" spans="3:13" x14ac:dyDescent="0.25">
      <c r="C1285" s="557"/>
      <c r="D1285" s="557"/>
      <c r="E1285" s="557"/>
      <c r="F1285" s="558"/>
      <c r="G1285" s="558"/>
      <c r="H1285" s="293"/>
      <c r="I1285" s="559"/>
      <c r="J1285" s="559"/>
      <c r="K1285" s="559"/>
      <c r="L1285" s="559"/>
      <c r="M1285" s="559"/>
    </row>
    <row r="1286" spans="3:13" x14ac:dyDescent="0.25">
      <c r="C1286" s="557"/>
      <c r="D1286" s="557"/>
      <c r="E1286" s="557"/>
      <c r="F1286" s="558"/>
      <c r="G1286" s="558"/>
      <c r="H1286" s="293"/>
      <c r="I1286" s="559"/>
      <c r="J1286" s="559"/>
      <c r="K1286" s="559"/>
      <c r="L1286" s="559"/>
      <c r="M1286" s="559"/>
    </row>
    <row r="1287" spans="3:13" x14ac:dyDescent="0.25">
      <c r="C1287" s="557"/>
      <c r="D1287" s="557"/>
      <c r="E1287" s="557"/>
      <c r="F1287" s="558"/>
      <c r="G1287" s="558"/>
      <c r="H1287" s="293"/>
      <c r="I1287" s="559"/>
      <c r="J1287" s="559"/>
      <c r="K1287" s="559"/>
      <c r="L1287" s="559"/>
      <c r="M1287" s="559"/>
    </row>
    <row r="1288" spans="3:13" x14ac:dyDescent="0.25">
      <c r="C1288" s="557"/>
      <c r="D1288" s="557"/>
      <c r="E1288" s="557"/>
      <c r="F1288" s="558"/>
      <c r="G1288" s="558"/>
      <c r="H1288" s="293"/>
      <c r="I1288" s="559"/>
      <c r="J1288" s="559"/>
      <c r="K1288" s="559"/>
      <c r="L1288" s="559"/>
      <c r="M1288" s="559"/>
    </row>
    <row r="1289" spans="3:13" x14ac:dyDescent="0.25">
      <c r="C1289" s="557"/>
      <c r="D1289" s="557"/>
      <c r="E1289" s="557"/>
      <c r="F1289" s="558"/>
      <c r="G1289" s="558"/>
      <c r="H1289" s="293"/>
      <c r="I1289" s="559"/>
      <c r="J1289" s="559"/>
      <c r="K1289" s="559"/>
      <c r="L1289" s="559"/>
      <c r="M1289" s="559"/>
    </row>
    <row r="1290" spans="3:13" x14ac:dyDescent="0.25">
      <c r="C1290" s="557"/>
      <c r="D1290" s="557"/>
      <c r="E1290" s="557"/>
      <c r="F1290" s="558"/>
      <c r="G1290" s="558"/>
      <c r="H1290" s="293"/>
      <c r="I1290" s="559"/>
      <c r="J1290" s="559"/>
      <c r="K1290" s="559"/>
      <c r="L1290" s="559"/>
      <c r="M1290" s="559"/>
    </row>
    <row r="1291" spans="3:13" x14ac:dyDescent="0.25">
      <c r="C1291" s="557"/>
      <c r="D1291" s="557"/>
      <c r="E1291" s="557"/>
      <c r="F1291" s="558"/>
      <c r="G1291" s="558"/>
      <c r="H1291" s="293"/>
      <c r="I1291" s="559"/>
      <c r="J1291" s="559"/>
      <c r="K1291" s="559"/>
      <c r="L1291" s="559"/>
      <c r="M1291" s="559"/>
    </row>
    <row r="1292" spans="3:13" x14ac:dyDescent="0.25">
      <c r="C1292" s="557"/>
      <c r="D1292" s="557"/>
      <c r="E1292" s="557"/>
      <c r="F1292" s="558"/>
      <c r="G1292" s="558"/>
      <c r="H1292" s="293"/>
      <c r="I1292" s="559"/>
      <c r="J1292" s="559"/>
      <c r="K1292" s="559"/>
      <c r="L1292" s="559"/>
      <c r="M1292" s="559"/>
    </row>
    <row r="1293" spans="3:13" x14ac:dyDescent="0.25">
      <c r="C1293" s="557"/>
      <c r="D1293" s="557"/>
      <c r="E1293" s="557"/>
      <c r="F1293" s="558"/>
      <c r="G1293" s="558"/>
      <c r="H1293" s="293"/>
      <c r="I1293" s="559"/>
      <c r="J1293" s="559"/>
      <c r="K1293" s="559"/>
      <c r="L1293" s="559"/>
      <c r="M1293" s="559"/>
    </row>
    <row r="1294" spans="3:13" x14ac:dyDescent="0.25">
      <c r="C1294" s="557"/>
      <c r="D1294" s="557"/>
      <c r="E1294" s="557"/>
      <c r="F1294" s="560"/>
      <c r="G1294" s="560"/>
      <c r="H1294" s="293"/>
      <c r="I1294" s="559"/>
      <c r="J1294" s="559"/>
      <c r="K1294" s="559"/>
      <c r="L1294" s="559"/>
      <c r="M1294" s="559"/>
    </row>
    <row r="1295" spans="3:13" x14ac:dyDescent="0.25">
      <c r="C1295" s="557"/>
      <c r="D1295" s="557"/>
      <c r="E1295" s="557"/>
      <c r="F1295" s="560"/>
      <c r="G1295" s="560"/>
      <c r="H1295" s="293"/>
      <c r="I1295" s="559"/>
      <c r="J1295" s="559"/>
      <c r="K1295" s="559"/>
      <c r="L1295" s="559"/>
      <c r="M1295" s="559"/>
    </row>
    <row r="1296" spans="3:13" x14ac:dyDescent="0.25">
      <c r="C1296" s="557"/>
      <c r="D1296" s="557"/>
      <c r="E1296" s="557"/>
      <c r="F1296" s="560"/>
      <c r="G1296" s="560"/>
      <c r="H1296" s="293"/>
      <c r="I1296" s="559"/>
      <c r="J1296" s="559"/>
      <c r="K1296" s="559"/>
      <c r="L1296" s="559"/>
      <c r="M1296" s="559"/>
    </row>
    <row r="1297" spans="3:13" x14ac:dyDescent="0.25">
      <c r="C1297" s="557"/>
      <c r="D1297" s="557"/>
      <c r="E1297" s="557"/>
      <c r="F1297" s="560"/>
      <c r="G1297" s="560"/>
      <c r="H1297" s="293"/>
      <c r="I1297" s="559"/>
      <c r="J1297" s="559"/>
      <c r="K1297" s="559"/>
      <c r="L1297" s="559"/>
      <c r="M1297" s="559"/>
    </row>
    <row r="1298" spans="3:13" x14ac:dyDescent="0.25">
      <c r="C1298" s="557"/>
      <c r="D1298" s="557"/>
      <c r="E1298" s="557"/>
      <c r="F1298" s="560"/>
      <c r="G1298" s="560"/>
      <c r="H1298" s="293"/>
      <c r="I1298" s="559"/>
      <c r="J1298" s="559"/>
      <c r="K1298" s="559"/>
      <c r="L1298" s="559"/>
      <c r="M1298" s="559"/>
    </row>
    <row r="1299" spans="3:13" x14ac:dyDescent="0.25">
      <c r="C1299" s="557"/>
      <c r="D1299" s="557"/>
      <c r="E1299" s="557"/>
      <c r="F1299" s="560"/>
      <c r="G1299" s="560"/>
      <c r="H1299" s="293"/>
      <c r="I1299" s="559"/>
      <c r="J1299" s="559"/>
      <c r="K1299" s="559"/>
      <c r="L1299" s="559"/>
      <c r="M1299" s="559"/>
    </row>
    <row r="1300" spans="3:13" x14ac:dyDescent="0.25">
      <c r="C1300" s="557"/>
      <c r="D1300" s="557"/>
      <c r="E1300" s="557"/>
      <c r="F1300" s="560"/>
      <c r="G1300" s="560"/>
      <c r="H1300" s="293"/>
      <c r="I1300" s="559"/>
      <c r="J1300" s="559"/>
      <c r="K1300" s="559"/>
      <c r="L1300" s="559"/>
      <c r="M1300" s="559"/>
    </row>
    <row r="1301" spans="3:13" x14ac:dyDescent="0.25">
      <c r="C1301" s="557"/>
      <c r="D1301" s="557"/>
      <c r="E1301" s="557"/>
      <c r="F1301" s="560"/>
      <c r="G1301" s="560"/>
      <c r="H1301" s="293"/>
      <c r="I1301" s="559"/>
      <c r="J1301" s="559"/>
      <c r="K1301" s="559"/>
      <c r="L1301" s="559"/>
      <c r="M1301" s="559"/>
    </row>
    <row r="1302" spans="3:13" x14ac:dyDescent="0.25">
      <c r="C1302" s="557"/>
      <c r="D1302" s="557"/>
      <c r="E1302" s="557"/>
      <c r="F1302" s="560"/>
      <c r="G1302" s="560"/>
      <c r="H1302" s="293"/>
      <c r="I1302" s="559"/>
      <c r="J1302" s="559"/>
      <c r="K1302" s="559"/>
      <c r="L1302" s="559"/>
      <c r="M1302" s="559"/>
    </row>
    <row r="1303" spans="3:13" x14ac:dyDescent="0.25">
      <c r="C1303" s="557"/>
      <c r="D1303" s="557"/>
      <c r="E1303" s="557"/>
      <c r="F1303" s="560"/>
      <c r="G1303" s="560"/>
      <c r="H1303" s="293"/>
      <c r="I1303" s="559"/>
      <c r="J1303" s="559"/>
      <c r="K1303" s="559"/>
      <c r="L1303" s="559"/>
      <c r="M1303" s="559"/>
    </row>
    <row r="1304" spans="3:13" x14ac:dyDescent="0.25">
      <c r="C1304" s="557"/>
      <c r="D1304" s="557"/>
      <c r="E1304" s="557"/>
      <c r="F1304" s="560"/>
      <c r="G1304" s="560"/>
      <c r="H1304" s="293"/>
      <c r="I1304" s="559"/>
      <c r="J1304" s="559"/>
      <c r="K1304" s="559"/>
      <c r="L1304" s="559"/>
      <c r="M1304" s="559"/>
    </row>
    <row r="1305" spans="3:13" x14ac:dyDescent="0.25">
      <c r="C1305" s="557"/>
      <c r="D1305" s="557"/>
      <c r="E1305" s="557"/>
      <c r="F1305" s="560"/>
      <c r="G1305" s="560"/>
      <c r="H1305" s="293"/>
      <c r="I1305" s="559"/>
      <c r="J1305" s="559"/>
      <c r="K1305" s="559"/>
      <c r="L1305" s="559"/>
      <c r="M1305" s="559"/>
    </row>
    <row r="1306" spans="3:13" x14ac:dyDescent="0.25">
      <c r="C1306" s="557"/>
      <c r="D1306" s="557"/>
      <c r="E1306" s="557"/>
      <c r="F1306" s="560"/>
      <c r="G1306" s="560"/>
      <c r="H1306" s="293"/>
      <c r="I1306" s="559"/>
      <c r="J1306" s="559"/>
      <c r="K1306" s="559"/>
      <c r="L1306" s="559"/>
      <c r="M1306" s="559"/>
    </row>
    <row r="1307" spans="3:13" x14ac:dyDescent="0.25">
      <c r="C1307" s="557"/>
      <c r="D1307" s="557"/>
      <c r="E1307" s="557"/>
      <c r="F1307" s="560"/>
      <c r="G1307" s="560"/>
      <c r="H1307" s="293"/>
      <c r="I1307" s="559"/>
      <c r="J1307" s="559"/>
      <c r="K1307" s="559"/>
      <c r="L1307" s="559"/>
      <c r="M1307" s="559"/>
    </row>
    <row r="1308" spans="3:13" x14ac:dyDescent="0.25">
      <c r="C1308" s="557"/>
      <c r="D1308" s="557"/>
      <c r="E1308" s="557"/>
      <c r="F1308" s="560"/>
      <c r="G1308" s="560"/>
      <c r="H1308" s="293"/>
      <c r="I1308" s="559"/>
      <c r="J1308" s="559"/>
      <c r="K1308" s="559"/>
      <c r="L1308" s="559"/>
      <c r="M1308" s="559"/>
    </row>
    <row r="1309" spans="3:13" x14ac:dyDescent="0.25">
      <c r="C1309" s="557"/>
      <c r="D1309" s="557"/>
      <c r="E1309" s="557"/>
      <c r="F1309" s="560"/>
      <c r="G1309" s="560"/>
      <c r="H1309" s="293"/>
      <c r="I1309" s="559"/>
      <c r="J1309" s="559"/>
      <c r="K1309" s="559"/>
      <c r="L1309" s="559"/>
      <c r="M1309" s="559"/>
    </row>
    <row r="1310" spans="3:13" x14ac:dyDescent="0.25">
      <c r="C1310" s="557"/>
      <c r="D1310" s="557"/>
      <c r="E1310" s="557"/>
      <c r="F1310" s="560"/>
      <c r="G1310" s="560"/>
      <c r="H1310" s="293"/>
      <c r="I1310" s="559"/>
      <c r="J1310" s="559"/>
      <c r="K1310" s="559"/>
      <c r="L1310" s="559"/>
      <c r="M1310" s="559"/>
    </row>
    <row r="1311" spans="3:13" x14ac:dyDescent="0.25">
      <c r="C1311" s="557"/>
      <c r="D1311" s="557"/>
      <c r="E1311" s="557"/>
      <c r="F1311" s="560"/>
      <c r="G1311" s="560"/>
      <c r="H1311" s="293"/>
      <c r="I1311" s="559"/>
      <c r="J1311" s="559"/>
      <c r="K1311" s="559"/>
      <c r="L1311" s="559"/>
      <c r="M1311" s="559"/>
    </row>
    <row r="1312" spans="3:13" x14ac:dyDescent="0.25">
      <c r="C1312" s="557"/>
      <c r="D1312" s="557"/>
      <c r="E1312" s="557"/>
      <c r="F1312" s="560"/>
      <c r="G1312" s="560"/>
      <c r="H1312" s="293"/>
      <c r="I1312" s="559"/>
      <c r="J1312" s="559"/>
      <c r="K1312" s="559"/>
      <c r="L1312" s="559"/>
      <c r="M1312" s="559"/>
    </row>
    <row r="1313" spans="3:13" x14ac:dyDescent="0.25">
      <c r="C1313" s="557"/>
      <c r="D1313" s="557"/>
      <c r="E1313" s="557"/>
      <c r="F1313" s="560"/>
      <c r="G1313" s="560"/>
      <c r="H1313" s="293"/>
      <c r="I1313" s="559"/>
      <c r="J1313" s="559"/>
      <c r="K1313" s="559"/>
      <c r="L1313" s="559"/>
      <c r="M1313" s="559"/>
    </row>
    <row r="1314" spans="3:13" x14ac:dyDescent="0.25">
      <c r="C1314" s="557"/>
      <c r="D1314" s="557"/>
      <c r="E1314" s="557"/>
      <c r="F1314" s="560"/>
      <c r="G1314" s="560"/>
      <c r="H1314" s="293"/>
      <c r="I1314" s="559"/>
      <c r="J1314" s="559"/>
      <c r="K1314" s="559"/>
      <c r="L1314" s="559"/>
      <c r="M1314" s="559"/>
    </row>
    <row r="1315" spans="3:13" x14ac:dyDescent="0.25">
      <c r="C1315" s="557"/>
      <c r="D1315" s="557"/>
      <c r="E1315" s="557"/>
      <c r="F1315" s="560"/>
      <c r="G1315" s="560"/>
      <c r="H1315" s="293"/>
      <c r="I1315" s="559"/>
      <c r="J1315" s="559"/>
      <c r="K1315" s="559"/>
      <c r="L1315" s="559"/>
      <c r="M1315" s="559"/>
    </row>
    <row r="1316" spans="3:13" x14ac:dyDescent="0.25">
      <c r="C1316" s="557"/>
      <c r="D1316" s="557"/>
      <c r="E1316" s="557"/>
      <c r="F1316" s="560"/>
      <c r="G1316" s="560"/>
      <c r="H1316" s="293"/>
      <c r="I1316" s="559"/>
      <c r="J1316" s="559"/>
      <c r="K1316" s="559"/>
      <c r="L1316" s="559"/>
      <c r="M1316" s="559"/>
    </row>
    <row r="1317" spans="3:13" x14ac:dyDescent="0.25">
      <c r="C1317" s="557"/>
      <c r="D1317" s="557"/>
      <c r="E1317" s="557"/>
      <c r="F1317" s="560"/>
      <c r="G1317" s="560"/>
      <c r="H1317" s="293"/>
      <c r="I1317" s="559"/>
      <c r="J1317" s="559"/>
      <c r="K1317" s="559"/>
      <c r="L1317" s="559"/>
      <c r="M1317" s="559"/>
    </row>
    <row r="1318" spans="3:13" x14ac:dyDescent="0.25">
      <c r="C1318" s="557"/>
      <c r="D1318" s="557"/>
      <c r="E1318" s="557"/>
      <c r="F1318" s="560"/>
      <c r="G1318" s="560"/>
      <c r="H1318" s="293"/>
      <c r="I1318" s="559"/>
      <c r="J1318" s="559"/>
      <c r="K1318" s="559"/>
      <c r="L1318" s="559"/>
      <c r="M1318" s="559"/>
    </row>
    <row r="1319" spans="3:13" x14ac:dyDescent="0.25">
      <c r="C1319" s="557"/>
      <c r="D1319" s="557"/>
      <c r="E1319" s="557"/>
      <c r="F1319" s="560"/>
      <c r="G1319" s="560"/>
      <c r="H1319" s="293"/>
      <c r="I1319" s="559"/>
      <c r="J1319" s="559"/>
      <c r="K1319" s="559"/>
      <c r="L1319" s="559"/>
      <c r="M1319" s="559"/>
    </row>
    <row r="1320" spans="3:13" x14ac:dyDescent="0.25">
      <c r="C1320" s="557"/>
      <c r="D1320" s="557"/>
      <c r="E1320" s="557"/>
      <c r="F1320" s="560"/>
      <c r="G1320" s="560"/>
      <c r="H1320" s="293"/>
      <c r="I1320" s="559"/>
      <c r="J1320" s="559"/>
      <c r="K1320" s="559"/>
      <c r="L1320" s="559"/>
      <c r="M1320" s="559"/>
    </row>
    <row r="1321" spans="3:13" x14ac:dyDescent="0.25">
      <c r="C1321" s="557"/>
      <c r="D1321" s="557"/>
      <c r="E1321" s="557"/>
      <c r="F1321" s="560"/>
      <c r="G1321" s="560"/>
      <c r="H1321" s="293"/>
      <c r="I1321" s="559"/>
      <c r="J1321" s="559"/>
      <c r="K1321" s="559"/>
      <c r="L1321" s="559"/>
      <c r="M1321" s="559"/>
    </row>
    <row r="1322" spans="3:13" x14ac:dyDescent="0.25">
      <c r="C1322" s="557"/>
      <c r="D1322" s="557"/>
      <c r="E1322" s="557"/>
      <c r="F1322" s="560"/>
      <c r="G1322" s="560"/>
      <c r="H1322" s="293"/>
      <c r="I1322" s="559"/>
      <c r="J1322" s="559"/>
      <c r="K1322" s="559"/>
      <c r="L1322" s="559"/>
      <c r="M1322" s="559"/>
    </row>
    <row r="1323" spans="3:13" x14ac:dyDescent="0.25">
      <c r="C1323" s="557"/>
      <c r="D1323" s="557"/>
      <c r="E1323" s="557"/>
      <c r="F1323" s="560"/>
      <c r="G1323" s="560"/>
      <c r="H1323" s="293"/>
      <c r="I1323" s="559"/>
      <c r="J1323" s="559"/>
      <c r="K1323" s="559"/>
      <c r="L1323" s="559"/>
      <c r="M1323" s="559"/>
    </row>
    <row r="1324" spans="3:13" x14ac:dyDescent="0.25">
      <c r="C1324" s="557"/>
      <c r="D1324" s="557"/>
      <c r="E1324" s="557"/>
      <c r="F1324" s="560"/>
      <c r="G1324" s="560"/>
      <c r="H1324" s="293"/>
      <c r="I1324" s="559"/>
      <c r="J1324" s="559"/>
      <c r="K1324" s="559"/>
      <c r="L1324" s="559"/>
      <c r="M1324" s="559"/>
    </row>
    <row r="1325" spans="3:13" x14ac:dyDescent="0.25">
      <c r="C1325" s="557"/>
      <c r="D1325" s="557"/>
      <c r="E1325" s="557"/>
      <c r="F1325" s="560"/>
      <c r="G1325" s="560"/>
      <c r="H1325" s="293"/>
      <c r="I1325" s="559"/>
      <c r="J1325" s="559"/>
      <c r="K1325" s="559"/>
      <c r="L1325" s="559"/>
      <c r="M1325" s="559"/>
    </row>
    <row r="1326" spans="3:13" x14ac:dyDescent="0.25">
      <c r="C1326" s="557"/>
      <c r="D1326" s="557"/>
      <c r="E1326" s="557"/>
      <c r="F1326" s="560"/>
      <c r="G1326" s="560"/>
      <c r="H1326" s="293"/>
      <c r="I1326" s="559"/>
      <c r="J1326" s="559"/>
      <c r="K1326" s="559"/>
      <c r="L1326" s="559"/>
      <c r="M1326" s="559"/>
    </row>
    <row r="1327" spans="3:13" x14ac:dyDescent="0.25">
      <c r="C1327" s="557"/>
      <c r="D1327" s="557"/>
      <c r="E1327" s="557"/>
      <c r="F1327" s="560"/>
      <c r="G1327" s="560"/>
      <c r="H1327" s="293"/>
      <c r="I1327" s="559"/>
      <c r="J1327" s="559"/>
      <c r="K1327" s="559"/>
      <c r="L1327" s="559"/>
      <c r="M1327" s="559"/>
    </row>
    <row r="1328" spans="3:13" x14ac:dyDescent="0.25">
      <c r="C1328" s="557"/>
      <c r="D1328" s="557"/>
      <c r="E1328" s="557"/>
      <c r="F1328" s="560"/>
      <c r="G1328" s="560"/>
      <c r="H1328" s="293"/>
      <c r="I1328" s="559"/>
      <c r="J1328" s="559"/>
      <c r="K1328" s="559"/>
      <c r="L1328" s="559"/>
      <c r="M1328" s="559"/>
    </row>
    <row r="1329" spans="3:13" x14ac:dyDescent="0.25">
      <c r="C1329" s="557"/>
      <c r="D1329" s="557"/>
      <c r="E1329" s="557"/>
      <c r="F1329" s="560"/>
      <c r="G1329" s="560"/>
      <c r="H1329" s="293"/>
      <c r="I1329" s="559"/>
      <c r="J1329" s="559"/>
      <c r="K1329" s="559"/>
      <c r="L1329" s="559"/>
      <c r="M1329" s="559"/>
    </row>
    <row r="1330" spans="3:13" x14ac:dyDescent="0.25">
      <c r="C1330" s="557"/>
      <c r="D1330" s="557"/>
      <c r="E1330" s="557"/>
      <c r="F1330" s="560"/>
      <c r="G1330" s="560"/>
      <c r="H1330" s="293"/>
      <c r="I1330" s="559"/>
      <c r="J1330" s="559"/>
      <c r="K1330" s="559"/>
      <c r="L1330" s="559"/>
      <c r="M1330" s="559"/>
    </row>
    <row r="1331" spans="3:13" x14ac:dyDescent="0.25">
      <c r="C1331" s="557"/>
      <c r="D1331" s="557"/>
      <c r="E1331" s="557"/>
      <c r="F1331" s="560"/>
      <c r="G1331" s="560"/>
      <c r="H1331" s="293"/>
      <c r="I1331" s="559"/>
      <c r="J1331" s="559"/>
      <c r="K1331" s="559"/>
      <c r="L1331" s="559"/>
      <c r="M1331" s="559"/>
    </row>
    <row r="1332" spans="3:13" x14ac:dyDescent="0.25">
      <c r="C1332" s="557"/>
      <c r="D1332" s="557"/>
      <c r="E1332" s="557"/>
      <c r="F1332" s="560"/>
      <c r="G1332" s="560"/>
      <c r="H1332" s="293"/>
      <c r="I1332" s="559"/>
      <c r="J1332" s="559"/>
      <c r="K1332" s="559"/>
      <c r="L1332" s="559"/>
      <c r="M1332" s="559"/>
    </row>
    <row r="1333" spans="3:13" x14ac:dyDescent="0.25">
      <c r="C1333" s="557"/>
      <c r="D1333" s="557"/>
      <c r="E1333" s="557"/>
      <c r="F1333" s="560"/>
      <c r="G1333" s="560"/>
      <c r="H1333" s="293"/>
      <c r="I1333" s="559"/>
      <c r="J1333" s="559"/>
      <c r="K1333" s="559"/>
      <c r="L1333" s="559"/>
      <c r="M1333" s="559"/>
    </row>
    <row r="1334" spans="3:13" x14ac:dyDescent="0.25">
      <c r="C1334" s="557"/>
      <c r="D1334" s="557"/>
      <c r="E1334" s="557"/>
      <c r="F1334" s="560"/>
      <c r="G1334" s="560"/>
      <c r="H1334" s="293"/>
      <c r="I1334" s="559"/>
      <c r="J1334" s="559"/>
      <c r="K1334" s="559"/>
      <c r="L1334" s="559"/>
      <c r="M1334" s="559"/>
    </row>
    <row r="1335" spans="3:13" x14ac:dyDescent="0.25">
      <c r="C1335" s="557"/>
      <c r="D1335" s="557"/>
      <c r="E1335" s="557"/>
      <c r="F1335" s="560"/>
      <c r="G1335" s="560"/>
      <c r="H1335" s="293"/>
      <c r="I1335" s="559"/>
      <c r="J1335" s="559"/>
      <c r="K1335" s="559"/>
      <c r="L1335" s="559"/>
      <c r="M1335" s="559"/>
    </row>
    <row r="1336" spans="3:13" x14ac:dyDescent="0.25">
      <c r="C1336" s="557"/>
      <c r="D1336" s="557"/>
      <c r="E1336" s="557"/>
      <c r="F1336" s="560"/>
      <c r="G1336" s="560"/>
      <c r="H1336" s="293"/>
      <c r="I1336" s="559"/>
      <c r="J1336" s="559"/>
      <c r="K1336" s="559"/>
      <c r="L1336" s="559"/>
      <c r="M1336" s="559"/>
    </row>
    <row r="1337" spans="3:13" x14ac:dyDescent="0.25">
      <c r="C1337" s="557"/>
      <c r="D1337" s="557"/>
      <c r="E1337" s="557"/>
      <c r="F1337" s="560"/>
      <c r="G1337" s="560"/>
      <c r="H1337" s="293"/>
      <c r="I1337" s="559"/>
      <c r="J1337" s="559"/>
      <c r="K1337" s="559"/>
      <c r="L1337" s="559"/>
      <c r="M1337" s="559"/>
    </row>
    <row r="1338" spans="3:13" x14ac:dyDescent="0.25">
      <c r="C1338" s="557"/>
      <c r="D1338" s="557"/>
      <c r="E1338" s="557"/>
      <c r="F1338" s="560"/>
      <c r="G1338" s="560"/>
      <c r="H1338" s="293"/>
      <c r="I1338" s="559"/>
      <c r="J1338" s="559"/>
      <c r="K1338" s="559"/>
      <c r="L1338" s="559"/>
      <c r="M1338" s="559"/>
    </row>
    <row r="1339" spans="3:13" x14ac:dyDescent="0.25">
      <c r="C1339" s="557"/>
      <c r="D1339" s="557"/>
      <c r="E1339" s="557"/>
      <c r="F1339" s="560"/>
      <c r="G1339" s="560"/>
      <c r="H1339" s="293"/>
      <c r="I1339" s="559"/>
      <c r="J1339" s="559"/>
      <c r="K1339" s="559"/>
      <c r="L1339" s="559"/>
      <c r="M1339" s="559"/>
    </row>
    <row r="1340" spans="3:13" x14ac:dyDescent="0.25">
      <c r="C1340" s="557"/>
      <c r="D1340" s="557"/>
      <c r="E1340" s="557"/>
      <c r="F1340" s="560"/>
      <c r="G1340" s="560"/>
      <c r="H1340" s="293"/>
      <c r="I1340" s="559"/>
      <c r="J1340" s="559"/>
      <c r="K1340" s="559"/>
      <c r="L1340" s="559"/>
      <c r="M1340" s="559"/>
    </row>
    <row r="1341" spans="3:13" x14ac:dyDescent="0.25">
      <c r="C1341" s="557"/>
      <c r="D1341" s="557"/>
      <c r="E1341" s="557"/>
      <c r="F1341" s="560"/>
      <c r="G1341" s="560"/>
      <c r="H1341" s="293"/>
      <c r="I1341" s="559"/>
      <c r="J1341" s="559"/>
      <c r="K1341" s="559"/>
      <c r="L1341" s="559"/>
      <c r="M1341" s="559"/>
    </row>
    <row r="1342" spans="3:13" x14ac:dyDescent="0.25">
      <c r="C1342" s="557"/>
      <c r="D1342" s="557"/>
      <c r="E1342" s="557"/>
      <c r="F1342" s="560"/>
      <c r="G1342" s="560"/>
      <c r="H1342" s="293"/>
      <c r="I1342" s="559"/>
      <c r="J1342" s="559"/>
      <c r="K1342" s="559"/>
      <c r="L1342" s="559"/>
      <c r="M1342" s="559"/>
    </row>
    <row r="1343" spans="3:13" x14ac:dyDescent="0.25">
      <c r="C1343" s="557"/>
      <c r="D1343" s="557"/>
      <c r="E1343" s="557"/>
      <c r="F1343" s="560"/>
      <c r="G1343" s="560"/>
      <c r="H1343" s="293"/>
      <c r="I1343" s="559"/>
      <c r="J1343" s="559"/>
      <c r="K1343" s="559"/>
      <c r="L1343" s="559"/>
      <c r="M1343" s="559"/>
    </row>
    <row r="1344" spans="3:13" x14ac:dyDescent="0.25">
      <c r="C1344" s="557"/>
      <c r="D1344" s="557"/>
      <c r="E1344" s="557"/>
      <c r="F1344" s="560"/>
      <c r="G1344" s="560"/>
      <c r="H1344" s="293"/>
      <c r="I1344" s="559"/>
      <c r="J1344" s="559"/>
      <c r="K1344" s="559"/>
      <c r="L1344" s="559"/>
      <c r="M1344" s="559"/>
    </row>
    <row r="1345" spans="3:13" x14ac:dyDescent="0.25">
      <c r="C1345" s="557"/>
      <c r="D1345" s="557"/>
      <c r="E1345" s="557"/>
      <c r="F1345" s="560"/>
      <c r="G1345" s="560"/>
      <c r="H1345" s="293"/>
      <c r="I1345" s="559"/>
      <c r="J1345" s="559"/>
      <c r="K1345" s="559"/>
      <c r="L1345" s="559"/>
      <c r="M1345" s="559"/>
    </row>
    <row r="1346" spans="3:13" x14ac:dyDescent="0.25">
      <c r="C1346" s="557"/>
      <c r="D1346" s="557"/>
      <c r="E1346" s="557"/>
      <c r="F1346" s="560"/>
      <c r="G1346" s="560"/>
      <c r="H1346" s="293"/>
      <c r="I1346" s="559"/>
      <c r="J1346" s="559"/>
      <c r="K1346" s="559"/>
      <c r="L1346" s="559"/>
      <c r="M1346" s="559"/>
    </row>
    <row r="1347" spans="3:13" x14ac:dyDescent="0.25">
      <c r="C1347" s="557"/>
      <c r="D1347" s="557"/>
      <c r="E1347" s="557"/>
      <c r="F1347" s="560"/>
      <c r="G1347" s="560"/>
      <c r="H1347" s="293"/>
      <c r="I1347" s="559"/>
      <c r="J1347" s="559"/>
      <c r="K1347" s="559"/>
      <c r="L1347" s="559"/>
      <c r="M1347" s="559"/>
    </row>
    <row r="1348" spans="3:13" x14ac:dyDescent="0.25">
      <c r="C1348" s="557"/>
      <c r="D1348" s="557"/>
      <c r="E1348" s="557"/>
      <c r="F1348" s="560"/>
      <c r="G1348" s="560"/>
      <c r="H1348" s="293"/>
      <c r="I1348" s="559"/>
      <c r="J1348" s="559"/>
      <c r="K1348" s="559"/>
      <c r="L1348" s="559"/>
      <c r="M1348" s="559"/>
    </row>
    <row r="1349" spans="3:13" x14ac:dyDescent="0.25">
      <c r="C1349" s="557"/>
      <c r="D1349" s="557"/>
      <c r="E1349" s="557"/>
      <c r="F1349" s="560"/>
      <c r="G1349" s="560"/>
      <c r="H1349" s="293"/>
      <c r="I1349" s="559"/>
      <c r="J1349" s="559"/>
      <c r="K1349" s="559"/>
      <c r="L1349" s="559"/>
      <c r="M1349" s="559"/>
    </row>
    <row r="1350" spans="3:13" x14ac:dyDescent="0.25">
      <c r="C1350" s="557"/>
      <c r="D1350" s="557"/>
      <c r="E1350" s="557"/>
      <c r="F1350" s="560"/>
      <c r="G1350" s="560"/>
      <c r="H1350" s="293"/>
      <c r="I1350" s="559"/>
      <c r="J1350" s="559"/>
      <c r="K1350" s="559"/>
      <c r="L1350" s="559"/>
      <c r="M1350" s="559"/>
    </row>
    <row r="1351" spans="3:13" x14ac:dyDescent="0.25">
      <c r="C1351" s="557"/>
      <c r="D1351" s="557"/>
      <c r="E1351" s="557"/>
      <c r="F1351" s="560"/>
      <c r="G1351" s="560"/>
      <c r="H1351" s="293"/>
      <c r="I1351" s="559"/>
      <c r="J1351" s="559"/>
      <c r="K1351" s="559"/>
      <c r="L1351" s="559"/>
      <c r="M1351" s="559"/>
    </row>
    <row r="1352" spans="3:13" x14ac:dyDescent="0.25">
      <c r="C1352" s="557"/>
      <c r="D1352" s="557"/>
      <c r="E1352" s="557"/>
      <c r="F1352" s="560"/>
      <c r="G1352" s="560"/>
      <c r="H1352" s="293"/>
      <c r="I1352" s="559"/>
      <c r="J1352" s="559"/>
      <c r="K1352" s="559"/>
      <c r="L1352" s="559"/>
      <c r="M1352" s="559"/>
    </row>
    <row r="1353" spans="3:13" x14ac:dyDescent="0.25">
      <c r="C1353" s="557"/>
      <c r="D1353" s="557"/>
      <c r="E1353" s="557"/>
      <c r="F1353" s="560"/>
      <c r="G1353" s="560"/>
      <c r="H1353" s="293"/>
      <c r="I1353" s="559"/>
      <c r="J1353" s="559"/>
      <c r="K1353" s="559"/>
      <c r="L1353" s="559"/>
      <c r="M1353" s="559"/>
    </row>
    <row r="1354" spans="3:13" x14ac:dyDescent="0.25">
      <c r="C1354" s="557"/>
      <c r="D1354" s="557"/>
      <c r="E1354" s="557"/>
      <c r="F1354" s="560"/>
      <c r="G1354" s="560"/>
      <c r="H1354" s="293"/>
      <c r="I1354" s="559"/>
      <c r="J1354" s="559"/>
      <c r="K1354" s="559"/>
      <c r="L1354" s="559"/>
      <c r="M1354" s="559"/>
    </row>
    <row r="1355" spans="3:13" x14ac:dyDescent="0.25">
      <c r="C1355" s="557"/>
      <c r="D1355" s="557"/>
      <c r="E1355" s="557"/>
      <c r="F1355" s="560"/>
      <c r="G1355" s="560"/>
      <c r="H1355" s="293"/>
      <c r="I1355" s="559"/>
      <c r="J1355" s="559"/>
      <c r="K1355" s="559"/>
      <c r="L1355" s="559"/>
      <c r="M1355" s="559"/>
    </row>
    <row r="1356" spans="3:13" x14ac:dyDescent="0.25">
      <c r="C1356" s="557"/>
      <c r="D1356" s="557"/>
      <c r="E1356" s="557"/>
      <c r="F1356" s="560"/>
      <c r="G1356" s="560"/>
      <c r="H1356" s="293"/>
      <c r="I1356" s="559"/>
      <c r="J1356" s="559"/>
      <c r="K1356" s="559"/>
      <c r="L1356" s="559"/>
      <c r="M1356" s="559"/>
    </row>
    <row r="1357" spans="3:13" x14ac:dyDescent="0.25">
      <c r="C1357" s="557"/>
      <c r="D1357" s="557"/>
      <c r="E1357" s="557"/>
      <c r="F1357" s="560"/>
      <c r="G1357" s="560"/>
      <c r="H1357" s="293"/>
      <c r="I1357" s="559"/>
      <c r="J1357" s="559"/>
      <c r="K1357" s="559"/>
      <c r="L1357" s="559"/>
      <c r="M1357" s="559"/>
    </row>
    <row r="1358" spans="3:13" x14ac:dyDescent="0.25">
      <c r="C1358" s="557"/>
      <c r="D1358" s="557"/>
      <c r="E1358" s="557"/>
      <c r="F1358" s="560"/>
      <c r="G1358" s="560"/>
      <c r="H1358" s="293"/>
      <c r="I1358" s="559"/>
      <c r="J1358" s="559"/>
      <c r="K1358" s="559"/>
      <c r="L1358" s="559"/>
      <c r="M1358" s="559"/>
    </row>
    <row r="1359" spans="3:13" x14ac:dyDescent="0.25">
      <c r="C1359" s="557"/>
      <c r="D1359" s="557"/>
      <c r="E1359" s="557"/>
      <c r="F1359" s="560"/>
      <c r="G1359" s="560"/>
      <c r="H1359" s="293"/>
      <c r="I1359" s="559"/>
      <c r="J1359" s="559"/>
      <c r="K1359" s="559"/>
      <c r="L1359" s="559"/>
      <c r="M1359" s="559"/>
    </row>
    <row r="1360" spans="3:13" x14ac:dyDescent="0.25">
      <c r="C1360" s="557"/>
      <c r="D1360" s="557"/>
      <c r="E1360" s="557"/>
      <c r="F1360" s="560"/>
      <c r="G1360" s="560"/>
      <c r="H1360" s="293"/>
      <c r="I1360" s="559"/>
      <c r="J1360" s="559"/>
      <c r="K1360" s="559"/>
      <c r="L1360" s="559"/>
      <c r="M1360" s="559"/>
    </row>
    <row r="1361" spans="3:13" x14ac:dyDescent="0.25">
      <c r="C1361" s="557"/>
      <c r="D1361" s="557"/>
      <c r="E1361" s="557"/>
      <c r="F1361" s="560"/>
      <c r="G1361" s="560"/>
      <c r="H1361" s="293"/>
      <c r="I1361" s="559"/>
      <c r="J1361" s="559"/>
      <c r="K1361" s="559"/>
      <c r="L1361" s="559"/>
      <c r="M1361" s="559"/>
    </row>
    <row r="1362" spans="3:13" x14ac:dyDescent="0.25">
      <c r="C1362" s="557"/>
      <c r="D1362" s="557"/>
      <c r="E1362" s="557"/>
      <c r="F1362" s="560"/>
      <c r="G1362" s="560"/>
      <c r="H1362" s="293"/>
      <c r="I1362" s="559"/>
      <c r="J1362" s="559"/>
      <c r="K1362" s="559"/>
      <c r="L1362" s="559"/>
      <c r="M1362" s="559"/>
    </row>
    <row r="1363" spans="3:13" x14ac:dyDescent="0.25">
      <c r="C1363" s="557"/>
      <c r="D1363" s="557"/>
      <c r="E1363" s="557"/>
      <c r="F1363" s="560"/>
      <c r="G1363" s="560"/>
      <c r="H1363" s="293"/>
      <c r="I1363" s="559"/>
      <c r="J1363" s="559"/>
      <c r="K1363" s="559"/>
      <c r="L1363" s="559"/>
      <c r="M1363" s="559"/>
    </row>
    <row r="1364" spans="3:13" x14ac:dyDescent="0.25">
      <c r="C1364" s="557"/>
      <c r="D1364" s="557"/>
      <c r="E1364" s="557"/>
      <c r="F1364" s="560"/>
      <c r="G1364" s="560"/>
      <c r="H1364" s="293"/>
      <c r="I1364" s="559"/>
      <c r="J1364" s="559"/>
      <c r="K1364" s="559"/>
      <c r="L1364" s="559"/>
      <c r="M1364" s="559"/>
    </row>
    <row r="1365" spans="3:13" x14ac:dyDescent="0.25">
      <c r="C1365" s="557"/>
      <c r="D1365" s="557"/>
      <c r="E1365" s="557"/>
      <c r="F1365" s="560"/>
      <c r="G1365" s="560"/>
      <c r="H1365" s="293"/>
      <c r="I1365" s="559"/>
      <c r="J1365" s="559"/>
      <c r="K1365" s="559"/>
      <c r="L1365" s="559"/>
      <c r="M1365" s="559"/>
    </row>
    <row r="1366" spans="3:13" x14ac:dyDescent="0.25">
      <c r="C1366" s="557"/>
      <c r="D1366" s="557"/>
      <c r="E1366" s="557"/>
      <c r="F1366" s="560"/>
      <c r="G1366" s="560"/>
      <c r="H1366" s="293"/>
      <c r="I1366" s="559"/>
      <c r="J1366" s="559"/>
      <c r="K1366" s="559"/>
      <c r="L1366" s="559"/>
      <c r="M1366" s="559"/>
    </row>
    <row r="1367" spans="3:13" x14ac:dyDescent="0.25">
      <c r="C1367" s="557"/>
      <c r="D1367" s="557"/>
      <c r="E1367" s="557"/>
      <c r="F1367" s="560"/>
      <c r="G1367" s="560"/>
      <c r="H1367" s="293"/>
      <c r="I1367" s="559"/>
      <c r="J1367" s="559"/>
      <c r="K1367" s="559"/>
      <c r="L1367" s="559"/>
      <c r="M1367" s="559"/>
    </row>
    <row r="1368" spans="3:13" x14ac:dyDescent="0.25">
      <c r="C1368" s="557"/>
      <c r="D1368" s="557"/>
      <c r="E1368" s="557"/>
      <c r="F1368" s="560"/>
      <c r="G1368" s="560"/>
      <c r="H1368" s="293"/>
      <c r="I1368" s="559"/>
      <c r="J1368" s="559"/>
      <c r="K1368" s="559"/>
      <c r="L1368" s="559"/>
      <c r="M1368" s="559"/>
    </row>
    <row r="1369" spans="3:13" x14ac:dyDescent="0.25">
      <c r="C1369" s="557"/>
      <c r="D1369" s="557"/>
      <c r="E1369" s="557"/>
      <c r="F1369" s="560"/>
      <c r="G1369" s="560"/>
      <c r="H1369" s="293"/>
      <c r="I1369" s="559"/>
      <c r="J1369" s="559"/>
      <c r="K1369" s="559"/>
      <c r="L1369" s="559"/>
      <c r="M1369" s="559"/>
    </row>
    <row r="1370" spans="3:13" x14ac:dyDescent="0.25">
      <c r="C1370" s="557"/>
      <c r="D1370" s="557"/>
      <c r="E1370" s="557"/>
      <c r="F1370" s="560"/>
      <c r="G1370" s="560"/>
      <c r="H1370" s="293"/>
      <c r="I1370" s="559"/>
      <c r="J1370" s="559"/>
      <c r="K1370" s="559"/>
      <c r="L1370" s="559"/>
      <c r="M1370" s="559"/>
    </row>
    <row r="1371" spans="3:13" x14ac:dyDescent="0.25">
      <c r="C1371" s="557"/>
      <c r="D1371" s="557"/>
      <c r="E1371" s="557"/>
      <c r="F1371" s="560"/>
      <c r="G1371" s="560"/>
      <c r="H1371" s="293"/>
      <c r="I1371" s="559"/>
      <c r="J1371" s="559"/>
      <c r="K1371" s="559"/>
      <c r="L1371" s="559"/>
      <c r="M1371" s="559"/>
    </row>
    <row r="1372" spans="3:13" x14ac:dyDescent="0.25">
      <c r="C1372" s="557"/>
      <c r="D1372" s="557"/>
      <c r="E1372" s="557"/>
      <c r="F1372" s="560"/>
      <c r="G1372" s="560"/>
      <c r="H1372" s="293"/>
      <c r="I1372" s="559"/>
      <c r="J1372" s="559"/>
      <c r="K1372" s="559"/>
      <c r="L1372" s="559"/>
      <c r="M1372" s="559"/>
    </row>
    <row r="1373" spans="3:13" x14ac:dyDescent="0.25">
      <c r="C1373" s="557"/>
      <c r="D1373" s="557"/>
      <c r="E1373" s="557"/>
      <c r="F1373" s="560"/>
      <c r="G1373" s="560"/>
      <c r="H1373" s="293"/>
      <c r="I1373" s="559"/>
      <c r="J1373" s="559"/>
      <c r="K1373" s="559"/>
      <c r="L1373" s="559"/>
      <c r="M1373" s="559"/>
    </row>
    <row r="1374" spans="3:13" x14ac:dyDescent="0.25">
      <c r="C1374" s="557"/>
      <c r="D1374" s="557"/>
      <c r="E1374" s="557"/>
      <c r="F1374" s="560"/>
      <c r="G1374" s="560"/>
      <c r="H1374" s="293"/>
      <c r="I1374" s="559"/>
      <c r="J1374" s="559"/>
      <c r="K1374" s="559"/>
      <c r="L1374" s="559"/>
      <c r="M1374" s="559"/>
    </row>
    <row r="1375" spans="3:13" x14ac:dyDescent="0.25">
      <c r="C1375" s="557"/>
      <c r="D1375" s="557"/>
      <c r="E1375" s="557"/>
      <c r="F1375" s="560"/>
      <c r="G1375" s="560"/>
      <c r="H1375" s="293"/>
      <c r="I1375" s="559"/>
      <c r="J1375" s="559"/>
      <c r="K1375" s="559"/>
      <c r="L1375" s="559"/>
      <c r="M1375" s="559"/>
    </row>
    <row r="1376" spans="3:13" x14ac:dyDescent="0.25">
      <c r="C1376" s="557"/>
      <c r="D1376" s="557"/>
      <c r="E1376" s="557"/>
      <c r="F1376" s="560"/>
      <c r="G1376" s="560"/>
      <c r="H1376" s="293"/>
      <c r="I1376" s="559"/>
      <c r="J1376" s="559"/>
      <c r="K1376" s="559"/>
      <c r="L1376" s="559"/>
      <c r="M1376" s="559"/>
    </row>
    <row r="1377" spans="3:13" x14ac:dyDescent="0.25">
      <c r="C1377" s="557"/>
      <c r="D1377" s="557"/>
      <c r="E1377" s="557"/>
      <c r="F1377" s="560"/>
      <c r="G1377" s="560"/>
      <c r="H1377" s="293"/>
      <c r="I1377" s="559"/>
      <c r="J1377" s="559"/>
      <c r="K1377" s="559"/>
      <c r="L1377" s="559"/>
      <c r="M1377" s="559"/>
    </row>
    <row r="1378" spans="3:13" x14ac:dyDescent="0.25">
      <c r="C1378" s="557"/>
      <c r="D1378" s="557"/>
      <c r="E1378" s="557"/>
      <c r="F1378" s="560"/>
      <c r="G1378" s="560"/>
      <c r="H1378" s="293"/>
      <c r="I1378" s="559"/>
      <c r="J1378" s="559"/>
      <c r="K1378" s="559"/>
      <c r="L1378" s="559"/>
      <c r="M1378" s="559"/>
    </row>
    <row r="1379" spans="3:13" x14ac:dyDescent="0.25">
      <c r="C1379" s="557"/>
      <c r="D1379" s="557"/>
      <c r="E1379" s="557"/>
      <c r="F1379" s="560"/>
      <c r="G1379" s="560"/>
      <c r="H1379" s="293"/>
      <c r="I1379" s="559"/>
      <c r="J1379" s="559"/>
      <c r="K1379" s="559"/>
      <c r="L1379" s="559"/>
      <c r="M1379" s="559"/>
    </row>
    <row r="1380" spans="3:13" x14ac:dyDescent="0.25">
      <c r="C1380" s="557"/>
      <c r="D1380" s="557"/>
      <c r="E1380" s="557"/>
      <c r="F1380" s="560"/>
      <c r="G1380" s="560"/>
      <c r="H1380" s="293"/>
      <c r="I1380" s="559"/>
      <c r="J1380" s="559"/>
      <c r="K1380" s="559"/>
      <c r="L1380" s="559"/>
      <c r="M1380" s="559"/>
    </row>
    <row r="1381" spans="3:13" x14ac:dyDescent="0.25">
      <c r="C1381" s="557"/>
      <c r="D1381" s="557"/>
      <c r="E1381" s="557"/>
      <c r="F1381" s="560"/>
      <c r="G1381" s="560"/>
      <c r="H1381" s="293"/>
      <c r="I1381" s="559"/>
      <c r="J1381" s="559"/>
      <c r="K1381" s="559"/>
      <c r="L1381" s="559"/>
      <c r="M1381" s="559"/>
    </row>
    <row r="1382" spans="3:13" x14ac:dyDescent="0.25">
      <c r="C1382" s="557"/>
      <c r="D1382" s="557"/>
      <c r="E1382" s="557"/>
      <c r="F1382" s="560"/>
      <c r="G1382" s="560"/>
      <c r="H1382" s="293"/>
      <c r="I1382" s="559"/>
      <c r="J1382" s="559"/>
      <c r="K1382" s="559"/>
      <c r="L1382" s="559"/>
      <c r="M1382" s="559"/>
    </row>
    <row r="1383" spans="3:13" x14ac:dyDescent="0.25">
      <c r="C1383" s="557"/>
      <c r="D1383" s="557"/>
      <c r="E1383" s="557"/>
      <c r="F1383" s="560"/>
      <c r="G1383" s="560"/>
      <c r="H1383" s="293"/>
      <c r="I1383" s="559"/>
      <c r="J1383" s="559"/>
      <c r="K1383" s="559"/>
      <c r="L1383" s="559"/>
      <c r="M1383" s="559"/>
    </row>
    <row r="1384" spans="3:13" x14ac:dyDescent="0.25">
      <c r="C1384" s="557"/>
      <c r="D1384" s="557"/>
      <c r="E1384" s="557"/>
      <c r="F1384" s="560"/>
      <c r="G1384" s="560"/>
      <c r="H1384" s="293"/>
      <c r="I1384" s="559"/>
      <c r="J1384" s="559"/>
      <c r="K1384" s="559"/>
      <c r="L1384" s="559"/>
      <c r="M1384" s="559"/>
    </row>
    <row r="1385" spans="3:13" x14ac:dyDescent="0.25">
      <c r="C1385" s="557"/>
      <c r="D1385" s="557"/>
      <c r="E1385" s="557"/>
      <c r="F1385" s="560"/>
      <c r="G1385" s="560"/>
      <c r="H1385" s="293"/>
      <c r="I1385" s="559"/>
      <c r="J1385" s="559"/>
      <c r="K1385" s="559"/>
      <c r="L1385" s="559"/>
      <c r="M1385" s="559"/>
    </row>
    <row r="1386" spans="3:13" x14ac:dyDescent="0.25">
      <c r="C1386" s="557"/>
      <c r="D1386" s="557"/>
      <c r="E1386" s="557"/>
      <c r="F1386" s="560"/>
      <c r="G1386" s="560"/>
      <c r="H1386" s="293"/>
      <c r="I1386" s="559"/>
      <c r="J1386" s="559"/>
      <c r="K1386" s="559"/>
      <c r="L1386" s="559"/>
      <c r="M1386" s="559"/>
    </row>
    <row r="1387" spans="3:13" x14ac:dyDescent="0.25">
      <c r="C1387" s="557"/>
      <c r="D1387" s="557"/>
      <c r="E1387" s="557"/>
      <c r="F1387" s="560"/>
      <c r="G1387" s="560"/>
      <c r="H1387" s="293"/>
      <c r="I1387" s="559"/>
      <c r="J1387" s="559"/>
      <c r="K1387" s="559"/>
      <c r="L1387" s="559"/>
      <c r="M1387" s="559"/>
    </row>
    <row r="1388" spans="3:13" x14ac:dyDescent="0.25">
      <c r="C1388" s="557"/>
      <c r="D1388" s="557"/>
      <c r="E1388" s="557"/>
      <c r="F1388" s="560"/>
      <c r="G1388" s="560"/>
      <c r="H1388" s="293"/>
      <c r="I1388" s="559"/>
      <c r="J1388" s="559"/>
      <c r="K1388" s="559"/>
      <c r="L1388" s="559"/>
      <c r="M1388" s="559"/>
    </row>
    <row r="1389" spans="3:13" x14ac:dyDescent="0.25">
      <c r="C1389" s="557"/>
      <c r="D1389" s="557"/>
      <c r="E1389" s="557"/>
      <c r="F1389" s="560"/>
      <c r="G1389" s="560"/>
      <c r="H1389" s="293"/>
      <c r="I1389" s="559"/>
      <c r="J1389" s="559"/>
      <c r="K1389" s="559"/>
      <c r="L1389" s="559"/>
      <c r="M1389" s="559"/>
    </row>
    <row r="1390" spans="3:13" x14ac:dyDescent="0.25">
      <c r="C1390" s="557"/>
      <c r="D1390" s="557"/>
      <c r="E1390" s="557"/>
      <c r="F1390" s="560"/>
      <c r="G1390" s="560"/>
      <c r="H1390" s="293"/>
      <c r="I1390" s="559"/>
      <c r="J1390" s="559"/>
      <c r="K1390" s="559"/>
      <c r="L1390" s="559"/>
      <c r="M1390" s="559"/>
    </row>
    <row r="1391" spans="3:13" x14ac:dyDescent="0.25">
      <c r="C1391" s="557"/>
      <c r="D1391" s="557"/>
      <c r="E1391" s="557"/>
      <c r="F1391" s="560"/>
      <c r="G1391" s="560"/>
      <c r="H1391" s="293"/>
      <c r="I1391" s="559"/>
      <c r="J1391" s="559"/>
      <c r="K1391" s="559"/>
      <c r="L1391" s="559"/>
      <c r="M1391" s="559"/>
    </row>
    <row r="1392" spans="3:13" x14ac:dyDescent="0.25">
      <c r="C1392" s="557"/>
      <c r="D1392" s="557"/>
      <c r="E1392" s="557"/>
      <c r="F1392" s="560"/>
      <c r="G1392" s="560"/>
      <c r="H1392" s="293"/>
      <c r="I1392" s="559"/>
      <c r="J1392" s="559"/>
      <c r="K1392" s="559"/>
      <c r="L1392" s="559"/>
      <c r="M1392" s="559"/>
    </row>
    <row r="1393" spans="3:13" x14ac:dyDescent="0.25">
      <c r="C1393" s="557"/>
      <c r="D1393" s="557"/>
      <c r="E1393" s="557"/>
      <c r="F1393" s="560"/>
      <c r="G1393" s="560"/>
      <c r="H1393" s="293"/>
      <c r="I1393" s="559"/>
      <c r="J1393" s="559"/>
      <c r="K1393" s="559"/>
      <c r="L1393" s="559"/>
      <c r="M1393" s="559"/>
    </row>
    <row r="1394" spans="3:13" x14ac:dyDescent="0.25">
      <c r="C1394" s="557"/>
      <c r="D1394" s="557"/>
      <c r="E1394" s="557"/>
      <c r="F1394" s="560"/>
      <c r="G1394" s="560"/>
      <c r="H1394" s="293"/>
      <c r="I1394" s="559"/>
      <c r="J1394" s="559"/>
      <c r="K1394" s="559"/>
      <c r="L1394" s="559"/>
      <c r="M1394" s="559"/>
    </row>
    <row r="1395" spans="3:13" x14ac:dyDescent="0.25">
      <c r="C1395" s="557"/>
      <c r="D1395" s="557"/>
      <c r="E1395" s="557"/>
      <c r="F1395" s="560"/>
      <c r="G1395" s="560"/>
      <c r="H1395" s="293"/>
      <c r="I1395" s="559"/>
      <c r="J1395" s="559"/>
      <c r="K1395" s="559"/>
      <c r="L1395" s="559"/>
      <c r="M1395" s="559"/>
    </row>
    <row r="1396" spans="3:13" x14ac:dyDescent="0.25">
      <c r="C1396" s="557"/>
      <c r="D1396" s="557"/>
      <c r="E1396" s="557"/>
      <c r="F1396" s="560"/>
      <c r="G1396" s="560"/>
      <c r="H1396" s="293"/>
      <c r="I1396" s="559"/>
      <c r="J1396" s="559"/>
      <c r="K1396" s="559"/>
      <c r="L1396" s="559"/>
      <c r="M1396" s="559"/>
    </row>
    <row r="1397" spans="3:13" x14ac:dyDescent="0.25">
      <c r="C1397" s="557"/>
      <c r="D1397" s="557"/>
      <c r="E1397" s="557"/>
      <c r="F1397" s="560"/>
      <c r="G1397" s="560"/>
      <c r="H1397" s="293"/>
      <c r="I1397" s="559"/>
      <c r="J1397" s="559"/>
      <c r="K1397" s="559"/>
      <c r="L1397" s="559"/>
      <c r="M1397" s="559"/>
    </row>
    <row r="1398" spans="3:13" x14ac:dyDescent="0.25">
      <c r="C1398" s="557"/>
      <c r="D1398" s="557"/>
      <c r="E1398" s="557"/>
      <c r="F1398" s="560"/>
      <c r="G1398" s="560"/>
      <c r="H1398" s="293"/>
      <c r="I1398" s="559"/>
      <c r="J1398" s="559"/>
      <c r="K1398" s="559"/>
      <c r="L1398" s="559"/>
      <c r="M1398" s="559"/>
    </row>
    <row r="1399" spans="3:13" x14ac:dyDescent="0.25">
      <c r="C1399" s="557"/>
      <c r="D1399" s="557"/>
      <c r="E1399" s="557"/>
      <c r="F1399" s="560"/>
      <c r="G1399" s="560"/>
      <c r="H1399" s="293"/>
      <c r="I1399" s="559"/>
      <c r="J1399" s="559"/>
      <c r="K1399" s="559"/>
      <c r="L1399" s="559"/>
      <c r="M1399" s="559"/>
    </row>
    <row r="1400" spans="3:13" x14ac:dyDescent="0.25">
      <c r="C1400" s="557"/>
      <c r="D1400" s="557"/>
      <c r="E1400" s="557"/>
      <c r="F1400" s="560"/>
      <c r="G1400" s="560"/>
      <c r="H1400" s="293"/>
      <c r="I1400" s="559"/>
      <c r="J1400" s="559"/>
      <c r="K1400" s="559"/>
      <c r="L1400" s="559"/>
      <c r="M1400" s="559"/>
    </row>
    <row r="1401" spans="3:13" x14ac:dyDescent="0.25">
      <c r="C1401" s="557"/>
      <c r="D1401" s="557"/>
      <c r="E1401" s="557"/>
      <c r="F1401" s="560"/>
      <c r="G1401" s="560"/>
      <c r="H1401" s="293"/>
      <c r="I1401" s="559"/>
      <c r="J1401" s="559"/>
      <c r="K1401" s="559"/>
      <c r="L1401" s="559"/>
      <c r="M1401" s="559"/>
    </row>
    <row r="1402" spans="3:13" x14ac:dyDescent="0.25">
      <c r="C1402" s="557"/>
      <c r="D1402" s="557"/>
      <c r="E1402" s="557"/>
      <c r="F1402" s="560"/>
      <c r="G1402" s="560"/>
      <c r="H1402" s="293"/>
      <c r="I1402" s="559"/>
      <c r="J1402" s="559"/>
      <c r="K1402" s="559"/>
      <c r="L1402" s="559"/>
      <c r="M1402" s="559"/>
    </row>
    <row r="1403" spans="3:13" x14ac:dyDescent="0.25">
      <c r="C1403" s="557"/>
      <c r="D1403" s="557"/>
      <c r="E1403" s="557"/>
      <c r="F1403" s="560"/>
      <c r="G1403" s="560"/>
      <c r="H1403" s="293"/>
      <c r="I1403" s="559"/>
      <c r="J1403" s="559"/>
      <c r="K1403" s="559"/>
      <c r="L1403" s="559"/>
      <c r="M1403" s="559"/>
    </row>
    <row r="1404" spans="3:13" x14ac:dyDescent="0.25">
      <c r="C1404" s="557"/>
      <c r="D1404" s="557"/>
      <c r="E1404" s="557"/>
      <c r="F1404" s="560"/>
      <c r="G1404" s="560"/>
      <c r="H1404" s="293"/>
      <c r="I1404" s="559"/>
      <c r="J1404" s="559"/>
      <c r="K1404" s="559"/>
      <c r="L1404" s="559"/>
      <c r="M1404" s="559"/>
    </row>
    <row r="1405" spans="3:13" x14ac:dyDescent="0.25">
      <c r="C1405" s="557"/>
      <c r="D1405" s="557"/>
      <c r="E1405" s="557"/>
      <c r="F1405" s="560"/>
      <c r="G1405" s="560"/>
      <c r="H1405" s="293"/>
      <c r="I1405" s="559"/>
      <c r="J1405" s="559"/>
      <c r="K1405" s="559"/>
      <c r="L1405" s="559"/>
      <c r="M1405" s="559"/>
    </row>
    <row r="1406" spans="3:13" x14ac:dyDescent="0.25">
      <c r="C1406" s="557"/>
      <c r="D1406" s="557"/>
      <c r="E1406" s="557"/>
      <c r="F1406" s="560"/>
      <c r="G1406" s="560"/>
      <c r="H1406" s="293"/>
      <c r="I1406" s="559"/>
      <c r="J1406" s="559"/>
      <c r="K1406" s="559"/>
      <c r="L1406" s="559"/>
      <c r="M1406" s="559"/>
    </row>
    <row r="1407" spans="3:13" x14ac:dyDescent="0.25">
      <c r="C1407" s="557"/>
      <c r="D1407" s="557"/>
      <c r="E1407" s="557"/>
      <c r="F1407" s="560"/>
      <c r="G1407" s="560"/>
      <c r="H1407" s="293"/>
      <c r="I1407" s="559"/>
      <c r="J1407" s="559"/>
      <c r="K1407" s="559"/>
      <c r="L1407" s="559"/>
      <c r="M1407" s="559"/>
    </row>
    <row r="1408" spans="3:13" x14ac:dyDescent="0.25">
      <c r="C1408" s="557"/>
      <c r="D1408" s="557"/>
      <c r="E1408" s="557"/>
      <c r="F1408" s="560"/>
      <c r="G1408" s="560"/>
      <c r="H1408" s="293"/>
      <c r="I1408" s="559"/>
      <c r="J1408" s="559"/>
      <c r="K1408" s="559"/>
      <c r="L1408" s="559"/>
      <c r="M1408" s="559"/>
    </row>
    <row r="1409" spans="3:13" x14ac:dyDescent="0.25">
      <c r="C1409" s="557"/>
      <c r="D1409" s="557"/>
      <c r="E1409" s="557"/>
      <c r="F1409" s="560"/>
      <c r="G1409" s="560"/>
      <c r="H1409" s="293"/>
      <c r="I1409" s="559"/>
      <c r="J1409" s="559"/>
      <c r="K1409" s="559"/>
      <c r="L1409" s="559"/>
      <c r="M1409" s="559"/>
    </row>
    <row r="1410" spans="3:13" x14ac:dyDescent="0.25">
      <c r="C1410" s="557"/>
      <c r="D1410" s="557"/>
      <c r="E1410" s="557"/>
      <c r="F1410" s="560"/>
      <c r="G1410" s="560"/>
      <c r="H1410" s="293"/>
      <c r="I1410" s="559"/>
      <c r="J1410" s="559"/>
      <c r="K1410" s="559"/>
      <c r="L1410" s="559"/>
      <c r="M1410" s="559"/>
    </row>
    <row r="1411" spans="3:13" x14ac:dyDescent="0.25">
      <c r="C1411" s="557"/>
      <c r="D1411" s="557"/>
      <c r="E1411" s="557"/>
      <c r="F1411" s="560"/>
      <c r="G1411" s="560"/>
      <c r="H1411" s="293"/>
      <c r="I1411" s="559"/>
      <c r="J1411" s="559"/>
      <c r="K1411" s="559"/>
      <c r="L1411" s="559"/>
      <c r="M1411" s="559"/>
    </row>
    <row r="1412" spans="3:13" x14ac:dyDescent="0.25">
      <c r="C1412" s="557"/>
      <c r="D1412" s="557"/>
      <c r="E1412" s="557"/>
      <c r="F1412" s="560"/>
      <c r="G1412" s="560"/>
      <c r="H1412" s="293"/>
      <c r="I1412" s="559"/>
      <c r="J1412" s="559"/>
      <c r="K1412" s="559"/>
      <c r="L1412" s="559"/>
      <c r="M1412" s="559"/>
    </row>
    <row r="1413" spans="3:13" x14ac:dyDescent="0.25">
      <c r="C1413" s="557"/>
      <c r="D1413" s="557"/>
      <c r="E1413" s="557"/>
      <c r="F1413" s="560"/>
      <c r="G1413" s="560"/>
      <c r="H1413" s="293"/>
      <c r="I1413" s="559"/>
      <c r="J1413" s="559"/>
      <c r="K1413" s="559"/>
      <c r="L1413" s="559"/>
      <c r="M1413" s="559"/>
    </row>
    <row r="1414" spans="3:13" x14ac:dyDescent="0.25">
      <c r="C1414" s="557"/>
      <c r="D1414" s="557"/>
      <c r="E1414" s="557"/>
      <c r="F1414" s="560"/>
      <c r="G1414" s="560"/>
      <c r="H1414" s="293"/>
      <c r="I1414" s="559"/>
      <c r="J1414" s="559"/>
      <c r="K1414" s="559"/>
      <c r="L1414" s="559"/>
      <c r="M1414" s="559"/>
    </row>
    <row r="1415" spans="3:13" x14ac:dyDescent="0.25">
      <c r="C1415" s="557"/>
      <c r="D1415" s="557"/>
      <c r="E1415" s="557"/>
      <c r="F1415" s="560"/>
      <c r="G1415" s="560"/>
      <c r="H1415" s="293"/>
      <c r="I1415" s="559"/>
      <c r="J1415" s="559"/>
      <c r="K1415" s="559"/>
      <c r="L1415" s="559"/>
      <c r="M1415" s="559"/>
    </row>
    <row r="1416" spans="3:13" x14ac:dyDescent="0.25">
      <c r="C1416" s="557"/>
      <c r="D1416" s="557"/>
      <c r="E1416" s="557"/>
      <c r="F1416" s="560"/>
      <c r="G1416" s="560"/>
      <c r="H1416" s="293"/>
      <c r="I1416" s="559"/>
      <c r="J1416" s="559"/>
      <c r="K1416" s="559"/>
      <c r="L1416" s="559"/>
      <c r="M1416" s="559"/>
    </row>
    <row r="1417" spans="3:13" x14ac:dyDescent="0.25">
      <c r="C1417" s="557"/>
      <c r="D1417" s="557"/>
      <c r="E1417" s="557"/>
      <c r="F1417" s="560"/>
      <c r="G1417" s="560"/>
      <c r="H1417" s="293"/>
      <c r="I1417" s="559"/>
      <c r="J1417" s="559"/>
      <c r="K1417" s="559"/>
      <c r="L1417" s="559"/>
      <c r="M1417" s="559"/>
    </row>
    <row r="1418" spans="3:13" x14ac:dyDescent="0.25">
      <c r="C1418" s="557"/>
      <c r="D1418" s="557"/>
      <c r="E1418" s="557"/>
      <c r="F1418" s="560"/>
      <c r="G1418" s="560"/>
      <c r="H1418" s="293"/>
      <c r="I1418" s="559"/>
      <c r="J1418" s="559"/>
      <c r="K1418" s="559"/>
      <c r="L1418" s="559"/>
      <c r="M1418" s="559"/>
    </row>
    <row r="1419" spans="3:13" x14ac:dyDescent="0.25">
      <c r="C1419" s="557"/>
      <c r="D1419" s="557"/>
      <c r="E1419" s="557"/>
      <c r="F1419" s="560"/>
      <c r="G1419" s="560"/>
      <c r="H1419" s="293"/>
      <c r="I1419" s="559"/>
      <c r="J1419" s="559"/>
      <c r="K1419" s="559"/>
      <c r="L1419" s="559"/>
      <c r="M1419" s="559"/>
    </row>
    <row r="1420" spans="3:13" x14ac:dyDescent="0.25">
      <c r="C1420" s="557"/>
      <c r="D1420" s="557"/>
      <c r="E1420" s="557"/>
      <c r="F1420" s="560"/>
      <c r="G1420" s="560"/>
      <c r="H1420" s="293"/>
      <c r="I1420" s="559"/>
      <c r="J1420" s="559"/>
      <c r="K1420" s="559"/>
      <c r="L1420" s="559"/>
      <c r="M1420" s="559"/>
    </row>
    <row r="1421" spans="3:13" x14ac:dyDescent="0.25">
      <c r="C1421" s="557"/>
      <c r="D1421" s="557"/>
      <c r="E1421" s="557"/>
      <c r="F1421" s="560"/>
      <c r="G1421" s="560"/>
      <c r="H1421" s="293"/>
      <c r="I1421" s="559"/>
      <c r="J1421" s="559"/>
      <c r="K1421" s="559"/>
      <c r="L1421" s="559"/>
      <c r="M1421" s="559"/>
    </row>
    <row r="1422" spans="3:13" x14ac:dyDescent="0.25">
      <c r="C1422" s="557"/>
      <c r="D1422" s="557"/>
      <c r="E1422" s="557"/>
      <c r="F1422" s="560"/>
      <c r="G1422" s="560"/>
      <c r="H1422" s="293"/>
      <c r="I1422" s="559"/>
      <c r="J1422" s="559"/>
      <c r="K1422" s="559"/>
      <c r="L1422" s="559"/>
      <c r="M1422" s="559"/>
    </row>
    <row r="1423" spans="3:13" x14ac:dyDescent="0.25">
      <c r="C1423" s="557"/>
      <c r="D1423" s="557"/>
      <c r="E1423" s="557"/>
      <c r="F1423" s="560"/>
      <c r="G1423" s="560"/>
      <c r="H1423" s="293"/>
      <c r="I1423" s="559"/>
      <c r="J1423" s="559"/>
      <c r="K1423" s="559"/>
      <c r="L1423" s="559"/>
      <c r="M1423" s="559"/>
    </row>
    <row r="1424" spans="3:13" x14ac:dyDescent="0.25">
      <c r="C1424" s="557"/>
      <c r="D1424" s="557"/>
      <c r="E1424" s="557"/>
      <c r="F1424" s="560"/>
      <c r="G1424" s="560"/>
      <c r="H1424" s="293"/>
      <c r="I1424" s="559"/>
      <c r="J1424" s="559"/>
      <c r="K1424" s="559"/>
      <c r="L1424" s="559"/>
      <c r="M1424" s="559"/>
    </row>
    <row r="1425" spans="3:13" x14ac:dyDescent="0.25">
      <c r="C1425" s="557"/>
      <c r="D1425" s="557"/>
      <c r="E1425" s="557"/>
      <c r="F1425" s="560"/>
      <c r="G1425" s="560"/>
      <c r="H1425" s="293"/>
      <c r="I1425" s="559"/>
      <c r="J1425" s="559"/>
      <c r="K1425" s="559"/>
      <c r="L1425" s="559"/>
      <c r="M1425" s="559"/>
    </row>
    <row r="1426" spans="3:13" x14ac:dyDescent="0.25">
      <c r="C1426" s="557"/>
      <c r="D1426" s="557"/>
      <c r="E1426" s="557"/>
      <c r="F1426" s="560"/>
      <c r="G1426" s="560"/>
      <c r="H1426" s="293"/>
      <c r="I1426" s="559"/>
      <c r="J1426" s="559"/>
      <c r="K1426" s="559"/>
      <c r="L1426" s="559"/>
      <c r="M1426" s="559"/>
    </row>
    <row r="1427" spans="3:13" x14ac:dyDescent="0.25">
      <c r="C1427" s="557"/>
      <c r="D1427" s="557"/>
      <c r="E1427" s="557"/>
      <c r="F1427" s="560"/>
      <c r="G1427" s="560"/>
      <c r="H1427" s="293"/>
      <c r="I1427" s="559"/>
      <c r="J1427" s="559"/>
      <c r="K1427" s="559"/>
      <c r="L1427" s="559"/>
      <c r="M1427" s="559"/>
    </row>
    <row r="1428" spans="3:13" x14ac:dyDescent="0.25">
      <c r="C1428" s="557"/>
      <c r="D1428" s="557"/>
      <c r="E1428" s="557"/>
      <c r="F1428" s="560"/>
      <c r="G1428" s="560"/>
      <c r="H1428" s="293"/>
      <c r="I1428" s="559"/>
      <c r="J1428" s="559"/>
      <c r="K1428" s="559"/>
      <c r="L1428" s="559"/>
      <c r="M1428" s="559"/>
    </row>
    <row r="1429" spans="3:13" x14ac:dyDescent="0.25">
      <c r="C1429" s="557"/>
      <c r="D1429" s="557"/>
      <c r="E1429" s="557"/>
      <c r="F1429" s="560"/>
      <c r="G1429" s="560"/>
      <c r="H1429" s="293"/>
      <c r="I1429" s="559"/>
      <c r="J1429" s="559"/>
      <c r="K1429" s="559"/>
      <c r="L1429" s="559"/>
      <c r="M1429" s="559"/>
    </row>
    <row r="1430" spans="3:13" x14ac:dyDescent="0.25">
      <c r="C1430" s="557"/>
      <c r="D1430" s="557"/>
      <c r="E1430" s="557"/>
      <c r="F1430" s="560"/>
      <c r="G1430" s="560"/>
      <c r="H1430" s="293"/>
      <c r="I1430" s="559"/>
      <c r="J1430" s="559"/>
      <c r="K1430" s="559"/>
      <c r="L1430" s="559"/>
      <c r="M1430" s="559"/>
    </row>
    <row r="1431" spans="3:13" x14ac:dyDescent="0.25">
      <c r="C1431" s="557"/>
      <c r="D1431" s="557"/>
      <c r="E1431" s="557"/>
      <c r="F1431" s="560"/>
      <c r="G1431" s="560"/>
      <c r="H1431" s="293"/>
      <c r="I1431" s="559"/>
      <c r="J1431" s="559"/>
      <c r="K1431" s="559"/>
      <c r="L1431" s="559"/>
      <c r="M1431" s="559"/>
    </row>
    <row r="1432" spans="3:13" x14ac:dyDescent="0.25">
      <c r="C1432" s="557"/>
      <c r="D1432" s="557"/>
      <c r="E1432" s="557"/>
      <c r="F1432" s="560"/>
      <c r="G1432" s="560"/>
      <c r="H1432" s="293"/>
      <c r="I1432" s="559"/>
      <c r="J1432" s="559"/>
      <c r="K1432" s="559"/>
      <c r="L1432" s="559"/>
      <c r="M1432" s="559"/>
    </row>
    <row r="1433" spans="3:13" x14ac:dyDescent="0.25">
      <c r="C1433" s="557"/>
      <c r="D1433" s="557"/>
      <c r="E1433" s="557"/>
      <c r="F1433" s="560"/>
      <c r="G1433" s="560"/>
      <c r="H1433" s="293"/>
      <c r="I1433" s="559"/>
      <c r="J1433" s="559"/>
      <c r="K1433" s="559"/>
      <c r="L1433" s="559"/>
      <c r="M1433" s="559"/>
    </row>
    <row r="1434" spans="3:13" x14ac:dyDescent="0.25">
      <c r="C1434" s="557"/>
      <c r="D1434" s="557"/>
      <c r="E1434" s="557"/>
      <c r="F1434" s="560"/>
      <c r="G1434" s="560"/>
      <c r="H1434" s="293"/>
      <c r="I1434" s="559"/>
      <c r="J1434" s="559"/>
      <c r="K1434" s="559"/>
      <c r="L1434" s="559"/>
      <c r="M1434" s="559"/>
    </row>
    <row r="1435" spans="3:13" x14ac:dyDescent="0.25">
      <c r="C1435" s="557"/>
      <c r="D1435" s="557"/>
      <c r="E1435" s="557"/>
      <c r="F1435" s="560"/>
      <c r="G1435" s="560"/>
      <c r="H1435" s="293"/>
      <c r="I1435" s="559"/>
      <c r="J1435" s="559"/>
      <c r="K1435" s="559"/>
      <c r="L1435" s="559"/>
      <c r="M1435" s="559"/>
    </row>
    <row r="1436" spans="3:13" x14ac:dyDescent="0.25">
      <c r="C1436" s="557"/>
      <c r="D1436" s="557"/>
      <c r="E1436" s="557"/>
      <c r="F1436" s="560"/>
      <c r="G1436" s="560"/>
      <c r="H1436" s="293"/>
      <c r="I1436" s="559"/>
      <c r="J1436" s="559"/>
      <c r="K1436" s="559"/>
      <c r="L1436" s="559"/>
      <c r="M1436" s="559"/>
    </row>
    <row r="1437" spans="3:13" x14ac:dyDescent="0.25">
      <c r="C1437" s="557"/>
      <c r="D1437" s="557"/>
      <c r="E1437" s="557"/>
      <c r="F1437" s="560"/>
      <c r="G1437" s="560"/>
      <c r="H1437" s="293"/>
      <c r="I1437" s="559"/>
      <c r="J1437" s="559"/>
      <c r="K1437" s="559"/>
      <c r="L1437" s="559"/>
      <c r="M1437" s="559"/>
    </row>
    <row r="1438" spans="3:13" x14ac:dyDescent="0.25">
      <c r="C1438" s="557"/>
      <c r="D1438" s="557"/>
      <c r="E1438" s="557"/>
      <c r="F1438" s="560"/>
      <c r="G1438" s="560"/>
      <c r="H1438" s="293"/>
      <c r="I1438" s="559"/>
      <c r="J1438" s="559"/>
      <c r="K1438" s="559"/>
      <c r="L1438" s="559"/>
      <c r="M1438" s="559"/>
    </row>
    <row r="1439" spans="3:13" x14ac:dyDescent="0.25">
      <c r="C1439" s="557"/>
      <c r="D1439" s="557"/>
      <c r="E1439" s="557"/>
      <c r="F1439" s="560"/>
      <c r="G1439" s="560"/>
      <c r="H1439" s="293"/>
      <c r="I1439" s="559"/>
      <c r="J1439" s="559"/>
      <c r="K1439" s="559"/>
      <c r="L1439" s="559"/>
      <c r="M1439" s="559"/>
    </row>
    <row r="1440" spans="3:13" x14ac:dyDescent="0.25">
      <c r="C1440" s="557"/>
      <c r="D1440" s="557"/>
      <c r="E1440" s="557"/>
      <c r="F1440" s="560"/>
      <c r="G1440" s="560"/>
      <c r="H1440" s="293"/>
      <c r="I1440" s="559"/>
      <c r="J1440" s="559"/>
      <c r="K1440" s="559"/>
      <c r="L1440" s="559"/>
      <c r="M1440" s="559"/>
    </row>
    <row r="1441" spans="3:13" x14ac:dyDescent="0.25">
      <c r="C1441" s="557"/>
      <c r="D1441" s="557"/>
      <c r="E1441" s="557"/>
      <c r="F1441" s="560"/>
      <c r="G1441" s="560"/>
      <c r="H1441" s="293"/>
      <c r="I1441" s="559"/>
      <c r="J1441" s="559"/>
      <c r="K1441" s="559"/>
      <c r="L1441" s="559"/>
      <c r="M1441" s="559"/>
    </row>
    <row r="1442" spans="3:13" x14ac:dyDescent="0.25">
      <c r="C1442" s="557"/>
      <c r="D1442" s="557"/>
      <c r="E1442" s="557"/>
      <c r="F1442" s="560"/>
      <c r="G1442" s="560"/>
      <c r="H1442" s="293"/>
      <c r="I1442" s="559"/>
      <c r="J1442" s="559"/>
      <c r="K1442" s="559"/>
      <c r="L1442" s="559"/>
      <c r="M1442" s="559"/>
    </row>
    <row r="1443" spans="3:13" x14ac:dyDescent="0.25">
      <c r="C1443" s="557"/>
      <c r="D1443" s="557"/>
      <c r="E1443" s="557"/>
      <c r="F1443" s="560"/>
      <c r="G1443" s="560"/>
      <c r="H1443" s="293"/>
      <c r="I1443" s="559"/>
      <c r="J1443" s="559"/>
      <c r="K1443" s="559"/>
      <c r="L1443" s="559"/>
      <c r="M1443" s="559"/>
    </row>
    <row r="1444" spans="3:13" x14ac:dyDescent="0.25">
      <c r="C1444" s="557"/>
      <c r="D1444" s="557"/>
      <c r="E1444" s="557"/>
      <c r="F1444" s="560"/>
      <c r="G1444" s="560"/>
      <c r="H1444" s="293"/>
      <c r="I1444" s="559"/>
      <c r="J1444" s="559"/>
      <c r="K1444" s="559"/>
      <c r="L1444" s="559"/>
      <c r="M1444" s="559"/>
    </row>
    <row r="1445" spans="3:13" x14ac:dyDescent="0.25">
      <c r="C1445" s="557"/>
      <c r="D1445" s="557"/>
      <c r="E1445" s="557"/>
      <c r="F1445" s="560"/>
      <c r="G1445" s="560"/>
      <c r="H1445" s="293"/>
      <c r="I1445" s="559"/>
      <c r="J1445" s="559"/>
      <c r="K1445" s="559"/>
      <c r="L1445" s="559"/>
      <c r="M1445" s="559"/>
    </row>
    <row r="1446" spans="3:13" x14ac:dyDescent="0.25">
      <c r="C1446" s="557"/>
      <c r="D1446" s="557"/>
      <c r="E1446" s="557"/>
      <c r="F1446" s="560"/>
      <c r="G1446" s="560"/>
      <c r="H1446" s="293"/>
      <c r="I1446" s="559"/>
      <c r="J1446" s="559"/>
      <c r="K1446" s="559"/>
      <c r="L1446" s="559"/>
      <c r="M1446" s="559"/>
    </row>
    <row r="1447" spans="3:13" x14ac:dyDescent="0.25">
      <c r="C1447" s="557"/>
      <c r="D1447" s="557"/>
      <c r="E1447" s="557"/>
      <c r="F1447" s="560"/>
      <c r="G1447" s="560"/>
      <c r="H1447" s="293"/>
      <c r="I1447" s="559"/>
      <c r="J1447" s="559"/>
      <c r="K1447" s="559"/>
      <c r="L1447" s="559"/>
      <c r="M1447" s="559"/>
    </row>
    <row r="1448" spans="3:13" x14ac:dyDescent="0.25">
      <c r="C1448" s="557"/>
      <c r="D1448" s="557"/>
      <c r="E1448" s="557"/>
      <c r="F1448" s="560"/>
      <c r="G1448" s="560"/>
      <c r="H1448" s="293"/>
      <c r="I1448" s="559"/>
      <c r="J1448" s="559"/>
      <c r="K1448" s="559"/>
      <c r="L1448" s="559"/>
      <c r="M1448" s="559"/>
    </row>
    <row r="1449" spans="3:13" x14ac:dyDescent="0.25">
      <c r="C1449" s="557"/>
      <c r="D1449" s="557"/>
      <c r="E1449" s="557"/>
      <c r="F1449" s="560"/>
      <c r="G1449" s="560"/>
      <c r="H1449" s="293"/>
      <c r="I1449" s="559"/>
      <c r="J1449" s="559"/>
      <c r="K1449" s="559"/>
      <c r="L1449" s="559"/>
      <c r="M1449" s="559"/>
    </row>
    <row r="1450" spans="3:13" x14ac:dyDescent="0.25">
      <c r="C1450" s="557"/>
      <c r="D1450" s="557"/>
      <c r="E1450" s="557"/>
      <c r="F1450" s="560"/>
      <c r="G1450" s="560"/>
      <c r="H1450" s="293"/>
      <c r="I1450" s="559"/>
      <c r="J1450" s="559"/>
      <c r="K1450" s="559"/>
      <c r="L1450" s="559"/>
      <c r="M1450" s="559"/>
    </row>
    <row r="1451" spans="3:13" x14ac:dyDescent="0.25">
      <c r="C1451" s="557"/>
      <c r="D1451" s="557"/>
      <c r="E1451" s="557"/>
      <c r="F1451" s="560"/>
      <c r="G1451" s="560"/>
      <c r="H1451" s="293"/>
      <c r="I1451" s="559"/>
      <c r="J1451" s="559"/>
      <c r="K1451" s="559"/>
      <c r="L1451" s="559"/>
      <c r="M1451" s="559"/>
    </row>
    <row r="1452" spans="3:13" x14ac:dyDescent="0.25">
      <c r="C1452" s="557"/>
      <c r="D1452" s="557"/>
      <c r="E1452" s="557"/>
      <c r="F1452" s="560"/>
      <c r="G1452" s="560"/>
      <c r="H1452" s="293"/>
      <c r="I1452" s="559"/>
      <c r="J1452" s="559"/>
      <c r="K1452" s="559"/>
      <c r="L1452" s="559"/>
      <c r="M1452" s="559"/>
    </row>
    <row r="1453" spans="3:13" x14ac:dyDescent="0.25">
      <c r="C1453" s="557"/>
      <c r="D1453" s="557"/>
      <c r="E1453" s="557"/>
      <c r="F1453" s="560"/>
      <c r="G1453" s="560"/>
      <c r="H1453" s="293"/>
      <c r="I1453" s="559"/>
      <c r="J1453" s="559"/>
      <c r="K1453" s="559"/>
      <c r="L1453" s="559"/>
      <c r="M1453" s="559"/>
    </row>
    <row r="1454" spans="3:13" x14ac:dyDescent="0.25">
      <c r="C1454" s="557"/>
      <c r="D1454" s="557"/>
      <c r="E1454" s="557"/>
      <c r="F1454" s="560"/>
      <c r="G1454" s="560"/>
      <c r="H1454" s="293"/>
      <c r="I1454" s="559"/>
      <c r="J1454" s="559"/>
      <c r="K1454" s="559"/>
      <c r="L1454" s="559"/>
      <c r="M1454" s="559"/>
    </row>
    <row r="1455" spans="3:13" x14ac:dyDescent="0.25">
      <c r="C1455" s="557"/>
      <c r="D1455" s="557"/>
      <c r="E1455" s="557"/>
      <c r="F1455" s="560"/>
      <c r="G1455" s="560"/>
      <c r="H1455" s="293"/>
      <c r="I1455" s="559"/>
      <c r="J1455" s="559"/>
      <c r="K1455" s="559"/>
      <c r="L1455" s="559"/>
      <c r="M1455" s="559"/>
    </row>
    <row r="1456" spans="3:13" x14ac:dyDescent="0.25">
      <c r="C1456" s="557"/>
      <c r="D1456" s="557"/>
      <c r="E1456" s="557"/>
      <c r="F1456" s="560"/>
      <c r="G1456" s="560"/>
      <c r="H1456" s="293"/>
      <c r="I1456" s="559"/>
      <c r="J1456" s="559"/>
      <c r="K1456" s="559"/>
      <c r="L1456" s="559"/>
      <c r="M1456" s="559"/>
    </row>
    <row r="1457" spans="3:13" x14ac:dyDescent="0.25">
      <c r="C1457" s="557"/>
      <c r="D1457" s="557"/>
      <c r="E1457" s="557"/>
      <c r="F1457" s="560"/>
      <c r="G1457" s="560"/>
      <c r="H1457" s="293"/>
      <c r="I1457" s="559"/>
      <c r="J1457" s="559"/>
      <c r="K1457" s="559"/>
      <c r="L1457" s="559"/>
      <c r="M1457" s="559"/>
    </row>
    <row r="1458" spans="3:13" x14ac:dyDescent="0.25">
      <c r="C1458" s="557"/>
      <c r="D1458" s="557"/>
      <c r="E1458" s="557"/>
      <c r="F1458" s="560"/>
      <c r="G1458" s="560"/>
      <c r="H1458" s="293"/>
      <c r="I1458" s="559"/>
      <c r="J1458" s="559"/>
      <c r="K1458" s="559"/>
      <c r="L1458" s="559"/>
      <c r="M1458" s="559"/>
    </row>
    <row r="1459" spans="3:13" x14ac:dyDescent="0.25">
      <c r="C1459" s="557"/>
      <c r="D1459" s="557"/>
      <c r="E1459" s="557"/>
      <c r="F1459" s="560"/>
      <c r="G1459" s="560"/>
      <c r="H1459" s="293"/>
      <c r="I1459" s="559"/>
      <c r="J1459" s="559"/>
      <c r="K1459" s="559"/>
      <c r="L1459" s="559"/>
      <c r="M1459" s="559"/>
    </row>
    <row r="1460" spans="3:13" x14ac:dyDescent="0.25">
      <c r="C1460" s="557"/>
      <c r="D1460" s="557"/>
      <c r="E1460" s="557"/>
      <c r="F1460" s="560"/>
      <c r="G1460" s="560"/>
      <c r="H1460" s="293"/>
      <c r="I1460" s="559"/>
      <c r="J1460" s="559"/>
      <c r="K1460" s="559"/>
      <c r="L1460" s="559"/>
      <c r="M1460" s="559"/>
    </row>
    <row r="1461" spans="3:13" x14ac:dyDescent="0.25">
      <c r="C1461" s="557"/>
      <c r="D1461" s="557"/>
      <c r="E1461" s="557"/>
      <c r="F1461" s="560"/>
      <c r="G1461" s="560"/>
      <c r="H1461" s="293"/>
      <c r="I1461" s="559"/>
      <c r="J1461" s="559"/>
      <c r="K1461" s="559"/>
      <c r="L1461" s="559"/>
      <c r="M1461" s="559"/>
    </row>
    <row r="1462" spans="3:13" x14ac:dyDescent="0.25">
      <c r="C1462" s="557"/>
      <c r="D1462" s="557"/>
      <c r="E1462" s="557"/>
      <c r="F1462" s="560"/>
      <c r="G1462" s="560"/>
      <c r="H1462" s="293"/>
      <c r="I1462" s="559"/>
      <c r="J1462" s="559"/>
      <c r="K1462" s="559"/>
      <c r="L1462" s="559"/>
      <c r="M1462" s="559"/>
    </row>
    <row r="1463" spans="3:13" x14ac:dyDescent="0.25">
      <c r="C1463" s="557"/>
      <c r="D1463" s="557"/>
      <c r="E1463" s="557"/>
      <c r="F1463" s="560"/>
      <c r="G1463" s="560"/>
      <c r="H1463" s="293"/>
      <c r="I1463" s="559"/>
      <c r="J1463" s="559"/>
      <c r="K1463" s="559"/>
      <c r="L1463" s="559"/>
      <c r="M1463" s="559"/>
    </row>
    <row r="1464" spans="3:13" x14ac:dyDescent="0.25">
      <c r="C1464" s="557"/>
      <c r="D1464" s="557"/>
      <c r="E1464" s="557"/>
      <c r="F1464" s="560"/>
      <c r="G1464" s="560"/>
      <c r="H1464" s="293"/>
      <c r="I1464" s="559"/>
      <c r="J1464" s="559"/>
      <c r="K1464" s="559"/>
      <c r="L1464" s="559"/>
      <c r="M1464" s="559"/>
    </row>
    <row r="1465" spans="3:13" x14ac:dyDescent="0.25">
      <c r="C1465" s="557"/>
      <c r="D1465" s="557"/>
      <c r="E1465" s="557"/>
      <c r="F1465" s="560"/>
      <c r="G1465" s="560"/>
      <c r="H1465" s="293"/>
      <c r="I1465" s="559"/>
      <c r="J1465" s="559"/>
      <c r="K1465" s="559"/>
      <c r="L1465" s="559"/>
      <c r="M1465" s="559"/>
    </row>
    <row r="1466" spans="3:13" x14ac:dyDescent="0.25">
      <c r="C1466" s="557"/>
      <c r="D1466" s="557"/>
      <c r="E1466" s="557"/>
      <c r="F1466" s="560"/>
      <c r="G1466" s="560"/>
      <c r="H1466" s="293"/>
      <c r="I1466" s="559"/>
      <c r="J1466" s="559"/>
      <c r="K1466" s="559"/>
      <c r="L1466" s="559"/>
      <c r="M1466" s="559"/>
    </row>
    <row r="1467" spans="3:13" x14ac:dyDescent="0.25">
      <c r="C1467" s="557"/>
      <c r="D1467" s="557"/>
      <c r="E1467" s="557"/>
      <c r="F1467" s="560"/>
      <c r="G1467" s="560"/>
      <c r="H1467" s="293"/>
      <c r="I1467" s="559"/>
      <c r="J1467" s="559"/>
      <c r="K1467" s="559"/>
      <c r="L1467" s="559"/>
      <c r="M1467" s="559"/>
    </row>
    <row r="1468" spans="3:13" x14ac:dyDescent="0.25">
      <c r="C1468" s="557"/>
      <c r="D1468" s="557"/>
      <c r="E1468" s="557"/>
      <c r="F1468" s="560"/>
      <c r="G1468" s="560"/>
      <c r="H1468" s="293"/>
      <c r="I1468" s="559"/>
      <c r="J1468" s="559"/>
      <c r="K1468" s="559"/>
      <c r="L1468" s="559"/>
      <c r="M1468" s="559"/>
    </row>
    <row r="1469" spans="3:13" x14ac:dyDescent="0.25">
      <c r="C1469" s="557"/>
      <c r="D1469" s="557"/>
      <c r="E1469" s="557"/>
      <c r="F1469" s="560"/>
      <c r="G1469" s="560"/>
      <c r="H1469" s="293"/>
      <c r="I1469" s="559"/>
      <c r="J1469" s="559"/>
      <c r="K1469" s="559"/>
      <c r="L1469" s="559"/>
      <c r="M1469" s="559"/>
    </row>
    <row r="1470" spans="3:13" x14ac:dyDescent="0.25">
      <c r="C1470" s="557"/>
      <c r="D1470" s="557"/>
      <c r="E1470" s="557"/>
      <c r="F1470" s="560"/>
      <c r="G1470" s="560"/>
      <c r="H1470" s="293"/>
      <c r="I1470" s="559"/>
      <c r="J1470" s="559"/>
      <c r="K1470" s="559"/>
      <c r="L1470" s="559"/>
      <c r="M1470" s="559"/>
    </row>
    <row r="1471" spans="3:13" x14ac:dyDescent="0.25">
      <c r="C1471" s="557"/>
      <c r="D1471" s="557"/>
      <c r="E1471" s="557"/>
      <c r="F1471" s="560"/>
      <c r="G1471" s="560"/>
      <c r="H1471" s="293"/>
      <c r="I1471" s="559"/>
      <c r="J1471" s="559"/>
      <c r="K1471" s="559"/>
      <c r="L1471" s="559"/>
      <c r="M1471" s="559"/>
    </row>
    <row r="1472" spans="3:13" x14ac:dyDescent="0.25">
      <c r="C1472" s="557"/>
      <c r="D1472" s="557"/>
      <c r="E1472" s="557"/>
      <c r="F1472" s="560"/>
      <c r="G1472" s="560"/>
      <c r="H1472" s="293"/>
      <c r="I1472" s="559"/>
      <c r="J1472" s="559"/>
      <c r="K1472" s="559"/>
      <c r="L1472" s="559"/>
      <c r="M1472" s="559"/>
    </row>
    <row r="1473" spans="3:13" x14ac:dyDescent="0.25">
      <c r="C1473" s="557"/>
      <c r="D1473" s="557"/>
      <c r="E1473" s="557"/>
      <c r="F1473" s="560"/>
      <c r="G1473" s="560"/>
      <c r="H1473" s="293"/>
      <c r="I1473" s="559"/>
      <c r="J1473" s="559"/>
      <c r="K1473" s="559"/>
      <c r="L1473" s="559"/>
      <c r="M1473" s="559"/>
    </row>
    <row r="1474" spans="3:13" x14ac:dyDescent="0.25">
      <c r="C1474" s="557"/>
      <c r="D1474" s="557"/>
      <c r="E1474" s="557"/>
      <c r="F1474" s="560"/>
      <c r="G1474" s="560"/>
      <c r="H1474" s="293"/>
      <c r="I1474" s="559"/>
      <c r="J1474" s="559"/>
      <c r="K1474" s="559"/>
      <c r="L1474" s="559"/>
      <c r="M1474" s="559"/>
    </row>
    <row r="1475" spans="3:13" x14ac:dyDescent="0.25">
      <c r="C1475" s="557"/>
      <c r="D1475" s="557"/>
      <c r="E1475" s="557"/>
      <c r="F1475" s="560"/>
      <c r="G1475" s="560"/>
      <c r="H1475" s="293"/>
      <c r="I1475" s="559"/>
      <c r="J1475" s="559"/>
      <c r="K1475" s="559"/>
      <c r="L1475" s="559"/>
      <c r="M1475" s="559"/>
    </row>
    <row r="1476" spans="3:13" x14ac:dyDescent="0.25">
      <c r="C1476" s="557"/>
      <c r="D1476" s="557"/>
      <c r="E1476" s="557"/>
      <c r="F1476" s="560"/>
      <c r="G1476" s="560"/>
      <c r="H1476" s="293"/>
      <c r="I1476" s="559"/>
      <c r="J1476" s="559"/>
      <c r="K1476" s="559"/>
      <c r="L1476" s="559"/>
      <c r="M1476" s="559"/>
    </row>
    <row r="1477" spans="3:13" x14ac:dyDescent="0.25">
      <c r="C1477" s="557"/>
      <c r="D1477" s="557"/>
      <c r="E1477" s="557"/>
      <c r="F1477" s="560"/>
      <c r="G1477" s="560"/>
      <c r="H1477" s="293"/>
      <c r="I1477" s="559"/>
      <c r="J1477" s="559"/>
      <c r="K1477" s="559"/>
      <c r="L1477" s="559"/>
      <c r="M1477" s="559"/>
    </row>
    <row r="1478" spans="3:13" x14ac:dyDescent="0.25">
      <c r="C1478" s="557"/>
      <c r="D1478" s="557"/>
      <c r="E1478" s="557"/>
      <c r="F1478" s="560"/>
      <c r="G1478" s="560"/>
      <c r="H1478" s="293"/>
      <c r="I1478" s="559"/>
      <c r="J1478" s="559"/>
      <c r="K1478" s="559"/>
      <c r="L1478" s="559"/>
      <c r="M1478" s="559"/>
    </row>
    <row r="1479" spans="3:13" x14ac:dyDescent="0.25">
      <c r="C1479" s="557"/>
      <c r="D1479" s="557"/>
      <c r="E1479" s="557"/>
      <c r="F1479" s="560"/>
      <c r="G1479" s="560"/>
      <c r="H1479" s="293"/>
      <c r="I1479" s="559"/>
      <c r="J1479" s="559"/>
      <c r="K1479" s="559"/>
      <c r="L1479" s="559"/>
      <c r="M1479" s="559"/>
    </row>
    <row r="1480" spans="3:13" x14ac:dyDescent="0.25">
      <c r="C1480" s="557"/>
      <c r="D1480" s="557"/>
      <c r="E1480" s="557"/>
      <c r="F1480" s="560"/>
      <c r="G1480" s="560"/>
      <c r="H1480" s="293"/>
      <c r="I1480" s="559"/>
      <c r="J1480" s="559"/>
      <c r="K1480" s="559"/>
      <c r="L1480" s="559"/>
      <c r="M1480" s="559"/>
    </row>
    <row r="1481" spans="3:13" x14ac:dyDescent="0.25">
      <c r="C1481" s="557"/>
      <c r="D1481" s="557"/>
      <c r="E1481" s="557"/>
      <c r="F1481" s="560"/>
      <c r="G1481" s="560"/>
      <c r="H1481" s="293"/>
      <c r="I1481" s="559"/>
      <c r="J1481" s="559"/>
      <c r="K1481" s="559"/>
      <c r="L1481" s="559"/>
      <c r="M1481" s="559"/>
    </row>
    <row r="1482" spans="3:13" x14ac:dyDescent="0.25">
      <c r="C1482" s="557"/>
      <c r="D1482" s="557"/>
      <c r="E1482" s="557"/>
      <c r="F1482" s="560"/>
      <c r="G1482" s="560"/>
      <c r="H1482" s="293"/>
      <c r="I1482" s="559"/>
      <c r="J1482" s="559"/>
      <c r="K1482" s="559"/>
      <c r="L1482" s="559"/>
      <c r="M1482" s="559"/>
    </row>
    <row r="1483" spans="3:13" x14ac:dyDescent="0.25">
      <c r="C1483" s="557"/>
      <c r="D1483" s="557"/>
      <c r="E1483" s="557"/>
      <c r="F1483" s="560"/>
      <c r="G1483" s="560"/>
      <c r="H1483" s="293"/>
      <c r="I1483" s="559"/>
      <c r="J1483" s="559"/>
      <c r="K1483" s="559"/>
      <c r="L1483" s="559"/>
      <c r="M1483" s="559"/>
    </row>
    <row r="1484" spans="3:13" x14ac:dyDescent="0.25">
      <c r="C1484" s="557"/>
      <c r="D1484" s="557"/>
      <c r="E1484" s="557"/>
      <c r="F1484" s="560"/>
      <c r="G1484" s="560"/>
      <c r="H1484" s="293"/>
      <c r="I1484" s="559"/>
      <c r="J1484" s="559"/>
      <c r="K1484" s="559"/>
      <c r="L1484" s="559"/>
      <c r="M1484" s="559"/>
    </row>
    <row r="1485" spans="3:13" x14ac:dyDescent="0.25">
      <c r="C1485" s="557"/>
      <c r="D1485" s="557"/>
      <c r="E1485" s="557"/>
      <c r="F1485" s="560"/>
      <c r="G1485" s="560"/>
      <c r="H1485" s="293"/>
      <c r="I1485" s="559"/>
      <c r="J1485" s="559"/>
      <c r="K1485" s="559"/>
      <c r="L1485" s="559"/>
      <c r="M1485" s="559"/>
    </row>
    <row r="1486" spans="3:13" x14ac:dyDescent="0.25">
      <c r="C1486" s="557"/>
      <c r="D1486" s="557"/>
      <c r="E1486" s="557"/>
      <c r="F1486" s="560"/>
      <c r="G1486" s="560"/>
      <c r="H1486" s="293"/>
      <c r="I1486" s="559"/>
      <c r="J1486" s="559"/>
      <c r="K1486" s="559"/>
      <c r="L1486" s="559"/>
      <c r="M1486" s="559"/>
    </row>
    <row r="1487" spans="3:13" x14ac:dyDescent="0.25">
      <c r="C1487" s="557"/>
      <c r="D1487" s="557"/>
      <c r="E1487" s="557"/>
      <c r="F1487" s="560"/>
      <c r="G1487" s="560"/>
      <c r="H1487" s="293"/>
      <c r="I1487" s="559"/>
      <c r="J1487" s="559"/>
      <c r="K1487" s="559"/>
      <c r="L1487" s="559"/>
      <c r="M1487" s="559"/>
    </row>
    <row r="1488" spans="3:13" x14ac:dyDescent="0.25">
      <c r="C1488" s="557"/>
      <c r="D1488" s="557"/>
      <c r="E1488" s="557"/>
      <c r="F1488" s="560"/>
      <c r="G1488" s="560"/>
      <c r="H1488" s="293"/>
      <c r="I1488" s="559"/>
      <c r="J1488" s="559"/>
      <c r="K1488" s="559"/>
      <c r="L1488" s="559"/>
      <c r="M1488" s="559"/>
    </row>
    <row r="1489" spans="3:13" x14ac:dyDescent="0.25">
      <c r="C1489" s="557"/>
      <c r="D1489" s="557"/>
      <c r="E1489" s="557"/>
      <c r="F1489" s="560"/>
      <c r="G1489" s="560"/>
      <c r="H1489" s="293"/>
      <c r="I1489" s="559"/>
      <c r="J1489" s="559"/>
      <c r="K1489" s="559"/>
      <c r="L1489" s="559"/>
      <c r="M1489" s="559"/>
    </row>
    <row r="1490" spans="3:13" x14ac:dyDescent="0.25">
      <c r="C1490" s="557"/>
      <c r="D1490" s="557"/>
      <c r="E1490" s="557"/>
      <c r="F1490" s="560"/>
      <c r="G1490" s="560"/>
      <c r="H1490" s="293"/>
      <c r="I1490" s="559"/>
      <c r="J1490" s="559"/>
      <c r="K1490" s="559"/>
      <c r="L1490" s="559"/>
      <c r="M1490" s="559"/>
    </row>
    <row r="1491" spans="3:13" x14ac:dyDescent="0.25">
      <c r="C1491" s="557"/>
      <c r="D1491" s="557"/>
      <c r="E1491" s="557"/>
      <c r="F1491" s="560"/>
      <c r="G1491" s="560"/>
      <c r="H1491" s="293"/>
      <c r="I1491" s="559"/>
      <c r="J1491" s="559"/>
      <c r="K1491" s="559"/>
      <c r="L1491" s="559"/>
      <c r="M1491" s="559"/>
    </row>
    <row r="1492" spans="3:13" x14ac:dyDescent="0.25">
      <c r="C1492" s="557"/>
      <c r="D1492" s="557"/>
      <c r="E1492" s="557"/>
      <c r="F1492" s="560"/>
      <c r="G1492" s="560"/>
      <c r="H1492" s="293"/>
      <c r="I1492" s="559"/>
      <c r="J1492" s="559"/>
      <c r="K1492" s="559"/>
      <c r="L1492" s="559"/>
      <c r="M1492" s="559"/>
    </row>
    <row r="1493" spans="3:13" x14ac:dyDescent="0.25">
      <c r="C1493" s="557"/>
      <c r="D1493" s="557"/>
      <c r="E1493" s="557"/>
      <c r="F1493" s="560"/>
      <c r="G1493" s="560"/>
      <c r="H1493" s="293"/>
      <c r="I1493" s="559"/>
      <c r="J1493" s="559"/>
      <c r="K1493" s="559"/>
      <c r="L1493" s="559"/>
      <c r="M1493" s="559"/>
    </row>
    <row r="1494" spans="3:13" x14ac:dyDescent="0.25">
      <c r="C1494" s="557"/>
      <c r="D1494" s="557"/>
      <c r="E1494" s="557"/>
      <c r="F1494" s="560"/>
      <c r="G1494" s="560"/>
      <c r="H1494" s="293"/>
      <c r="I1494" s="559"/>
      <c r="J1494" s="559"/>
      <c r="K1494" s="559"/>
      <c r="L1494" s="559"/>
      <c r="M1494" s="559"/>
    </row>
    <row r="1495" spans="3:13" x14ac:dyDescent="0.25">
      <c r="C1495" s="557"/>
      <c r="D1495" s="557"/>
      <c r="E1495" s="557"/>
      <c r="F1495" s="560"/>
      <c r="G1495" s="560"/>
      <c r="H1495" s="293"/>
      <c r="I1495" s="559"/>
      <c r="J1495" s="559"/>
      <c r="K1495" s="559"/>
      <c r="L1495" s="559"/>
      <c r="M1495" s="559"/>
    </row>
    <row r="1496" spans="3:13" x14ac:dyDescent="0.25">
      <c r="C1496" s="557"/>
      <c r="D1496" s="557"/>
      <c r="E1496" s="557"/>
      <c r="F1496" s="560"/>
      <c r="G1496" s="560"/>
      <c r="H1496" s="293"/>
      <c r="I1496" s="559"/>
      <c r="J1496" s="559"/>
      <c r="K1496" s="559"/>
      <c r="L1496" s="559"/>
      <c r="M1496" s="559"/>
    </row>
    <row r="1497" spans="3:13" x14ac:dyDescent="0.25">
      <c r="C1497" s="557"/>
      <c r="D1497" s="557"/>
      <c r="E1497" s="557"/>
      <c r="F1497" s="560"/>
      <c r="G1497" s="560"/>
      <c r="H1497" s="293"/>
      <c r="I1497" s="559"/>
      <c r="J1497" s="559"/>
      <c r="K1497" s="559"/>
      <c r="L1497" s="559"/>
      <c r="M1497" s="559"/>
    </row>
    <row r="1498" spans="3:13" x14ac:dyDescent="0.25">
      <c r="C1498" s="557"/>
      <c r="D1498" s="557"/>
      <c r="E1498" s="557"/>
      <c r="F1498" s="560"/>
      <c r="G1498" s="560"/>
      <c r="H1498" s="293"/>
      <c r="I1498" s="559"/>
      <c r="J1498" s="559"/>
      <c r="K1498" s="559"/>
      <c r="L1498" s="559"/>
      <c r="M1498" s="559"/>
    </row>
    <row r="1499" spans="3:13" x14ac:dyDescent="0.25">
      <c r="C1499" s="557"/>
      <c r="D1499" s="557"/>
      <c r="E1499" s="557"/>
      <c r="F1499" s="560"/>
      <c r="G1499" s="560"/>
      <c r="H1499" s="293"/>
      <c r="I1499" s="559"/>
      <c r="J1499" s="559"/>
      <c r="K1499" s="559"/>
      <c r="L1499" s="559"/>
      <c r="M1499" s="559"/>
    </row>
    <row r="1500" spans="3:13" x14ac:dyDescent="0.25">
      <c r="C1500" s="557"/>
      <c r="D1500" s="557"/>
      <c r="E1500" s="557"/>
      <c r="F1500" s="560"/>
      <c r="G1500" s="560"/>
      <c r="H1500" s="293"/>
      <c r="I1500" s="559"/>
      <c r="J1500" s="559"/>
      <c r="K1500" s="559"/>
      <c r="L1500" s="559"/>
      <c r="M1500" s="559"/>
    </row>
    <row r="1501" spans="3:13" x14ac:dyDescent="0.25">
      <c r="C1501" s="557"/>
      <c r="D1501" s="557"/>
      <c r="E1501" s="557"/>
      <c r="F1501" s="560"/>
      <c r="G1501" s="560"/>
      <c r="H1501" s="293"/>
      <c r="I1501" s="559"/>
      <c r="J1501" s="559"/>
      <c r="K1501" s="559"/>
      <c r="L1501" s="559"/>
      <c r="M1501" s="559"/>
    </row>
    <row r="1502" spans="3:13" x14ac:dyDescent="0.25">
      <c r="C1502" s="557"/>
      <c r="D1502" s="557"/>
      <c r="E1502" s="557"/>
      <c r="F1502" s="560"/>
      <c r="G1502" s="560"/>
      <c r="H1502" s="293"/>
      <c r="I1502" s="559"/>
      <c r="J1502" s="559"/>
      <c r="K1502" s="559"/>
      <c r="L1502" s="559"/>
      <c r="M1502" s="559"/>
    </row>
    <row r="1503" spans="3:13" x14ac:dyDescent="0.25">
      <c r="C1503" s="557"/>
      <c r="D1503" s="557"/>
      <c r="E1503" s="557"/>
      <c r="F1503" s="560"/>
      <c r="G1503" s="560"/>
      <c r="H1503" s="293"/>
      <c r="I1503" s="559"/>
      <c r="J1503" s="559"/>
      <c r="K1503" s="559"/>
      <c r="L1503" s="559"/>
      <c r="M1503" s="559"/>
    </row>
    <row r="1504" spans="3:13" x14ac:dyDescent="0.25">
      <c r="C1504" s="557"/>
      <c r="D1504" s="557"/>
      <c r="E1504" s="557"/>
      <c r="F1504" s="560"/>
      <c r="G1504" s="560"/>
      <c r="H1504" s="293"/>
      <c r="I1504" s="559"/>
      <c r="J1504" s="559"/>
      <c r="K1504" s="559"/>
      <c r="L1504" s="559"/>
      <c r="M1504" s="559"/>
    </row>
    <row r="1505" spans="3:13" x14ac:dyDescent="0.25">
      <c r="C1505" s="557"/>
      <c r="D1505" s="557"/>
      <c r="E1505" s="557"/>
      <c r="F1505" s="560"/>
      <c r="G1505" s="560"/>
      <c r="H1505" s="293"/>
      <c r="I1505" s="559"/>
      <c r="J1505" s="559"/>
      <c r="K1505" s="559"/>
      <c r="L1505" s="559"/>
      <c r="M1505" s="559"/>
    </row>
    <row r="1506" spans="3:13" x14ac:dyDescent="0.25">
      <c r="C1506" s="557"/>
      <c r="D1506" s="557"/>
      <c r="E1506" s="557"/>
      <c r="F1506" s="560"/>
      <c r="G1506" s="560"/>
      <c r="H1506" s="293"/>
      <c r="I1506" s="559"/>
      <c r="J1506" s="559"/>
      <c r="K1506" s="559"/>
      <c r="L1506" s="559"/>
      <c r="M1506" s="559"/>
    </row>
    <row r="1507" spans="3:13" x14ac:dyDescent="0.25">
      <c r="C1507" s="557"/>
      <c r="D1507" s="557"/>
      <c r="E1507" s="557"/>
      <c r="F1507" s="560"/>
      <c r="G1507" s="560"/>
      <c r="H1507" s="293"/>
      <c r="I1507" s="559"/>
      <c r="J1507" s="559"/>
      <c r="K1507" s="559"/>
      <c r="L1507" s="559"/>
      <c r="M1507" s="559"/>
    </row>
    <row r="1508" spans="3:13" x14ac:dyDescent="0.25">
      <c r="C1508" s="557"/>
      <c r="D1508" s="557"/>
      <c r="E1508" s="557"/>
      <c r="F1508" s="560"/>
      <c r="G1508" s="560"/>
      <c r="H1508" s="293"/>
      <c r="I1508" s="559"/>
      <c r="J1508" s="559"/>
      <c r="K1508" s="559"/>
      <c r="L1508" s="559"/>
      <c r="M1508" s="559"/>
    </row>
    <row r="1509" spans="3:13" x14ac:dyDescent="0.25">
      <c r="C1509" s="557"/>
      <c r="D1509" s="557"/>
      <c r="E1509" s="557"/>
      <c r="F1509" s="560"/>
      <c r="G1509" s="560"/>
      <c r="H1509" s="293"/>
      <c r="I1509" s="559"/>
      <c r="J1509" s="559"/>
      <c r="K1509" s="559"/>
      <c r="L1509" s="559"/>
      <c r="M1509" s="559"/>
    </row>
    <row r="1510" spans="3:13" x14ac:dyDescent="0.25">
      <c r="C1510" s="557"/>
      <c r="D1510" s="557"/>
      <c r="E1510" s="557"/>
      <c r="F1510" s="560"/>
      <c r="G1510" s="560"/>
      <c r="H1510" s="293"/>
      <c r="I1510" s="559"/>
      <c r="J1510" s="559"/>
      <c r="K1510" s="559"/>
      <c r="L1510" s="559"/>
      <c r="M1510" s="559"/>
    </row>
    <row r="1511" spans="3:13" x14ac:dyDescent="0.25">
      <c r="C1511" s="557"/>
      <c r="D1511" s="557"/>
      <c r="E1511" s="557"/>
      <c r="F1511" s="560"/>
      <c r="G1511" s="560"/>
      <c r="H1511" s="293"/>
      <c r="I1511" s="559"/>
      <c r="J1511" s="559"/>
      <c r="K1511" s="559"/>
      <c r="L1511" s="559"/>
      <c r="M1511" s="559"/>
    </row>
    <row r="1512" spans="3:13" x14ac:dyDescent="0.25">
      <c r="C1512" s="557"/>
      <c r="D1512" s="557"/>
      <c r="E1512" s="557"/>
      <c r="F1512" s="560"/>
      <c r="G1512" s="560"/>
      <c r="H1512" s="293"/>
      <c r="I1512" s="559"/>
      <c r="J1512" s="559"/>
      <c r="K1512" s="559"/>
      <c r="L1512" s="559"/>
      <c r="M1512" s="559"/>
    </row>
    <row r="1513" spans="3:13" x14ac:dyDescent="0.25">
      <c r="C1513" s="557"/>
      <c r="D1513" s="557"/>
      <c r="E1513" s="557"/>
      <c r="F1513" s="560"/>
      <c r="G1513" s="560"/>
      <c r="H1513" s="293"/>
      <c r="I1513" s="559"/>
      <c r="J1513" s="559"/>
      <c r="K1513" s="559"/>
      <c r="L1513" s="559"/>
      <c r="M1513" s="559"/>
    </row>
    <row r="1514" spans="3:13" x14ac:dyDescent="0.25">
      <c r="C1514" s="557"/>
      <c r="D1514" s="557"/>
      <c r="E1514" s="557"/>
      <c r="F1514" s="560"/>
      <c r="G1514" s="560"/>
      <c r="H1514" s="293"/>
      <c r="I1514" s="559"/>
      <c r="J1514" s="559"/>
      <c r="K1514" s="559"/>
      <c r="L1514" s="559"/>
      <c r="M1514" s="559"/>
    </row>
    <row r="1515" spans="3:13" x14ac:dyDescent="0.25">
      <c r="C1515" s="557"/>
      <c r="D1515" s="557"/>
      <c r="E1515" s="557"/>
      <c r="F1515" s="560"/>
      <c r="G1515" s="560"/>
      <c r="H1515" s="293"/>
      <c r="I1515" s="559"/>
      <c r="J1515" s="559"/>
      <c r="K1515" s="559"/>
      <c r="L1515" s="559"/>
      <c r="M1515" s="559"/>
    </row>
    <row r="1516" spans="3:13" x14ac:dyDescent="0.25">
      <c r="C1516" s="557"/>
      <c r="D1516" s="557"/>
      <c r="E1516" s="557"/>
      <c r="F1516" s="560"/>
      <c r="G1516" s="560"/>
      <c r="H1516" s="293"/>
      <c r="I1516" s="559"/>
      <c r="J1516" s="559"/>
      <c r="K1516" s="559"/>
      <c r="L1516" s="559"/>
      <c r="M1516" s="559"/>
    </row>
    <row r="1517" spans="3:13" x14ac:dyDescent="0.25">
      <c r="C1517" s="557"/>
      <c r="D1517" s="557"/>
      <c r="E1517" s="557"/>
      <c r="F1517" s="560"/>
      <c r="G1517" s="560"/>
      <c r="H1517" s="293"/>
      <c r="I1517" s="559"/>
      <c r="J1517" s="559"/>
      <c r="K1517" s="559"/>
      <c r="L1517" s="559"/>
      <c r="M1517" s="559"/>
    </row>
    <row r="1518" spans="3:13" x14ac:dyDescent="0.25">
      <c r="C1518" s="557"/>
      <c r="D1518" s="557"/>
      <c r="E1518" s="557"/>
      <c r="F1518" s="560"/>
      <c r="G1518" s="560"/>
      <c r="H1518" s="293"/>
      <c r="I1518" s="559"/>
      <c r="J1518" s="559"/>
      <c r="K1518" s="559"/>
      <c r="L1518" s="559"/>
      <c r="M1518" s="559"/>
    </row>
    <row r="1519" spans="3:13" x14ac:dyDescent="0.25">
      <c r="C1519" s="557"/>
      <c r="D1519" s="557"/>
      <c r="E1519" s="557"/>
      <c r="F1519" s="560"/>
      <c r="G1519" s="560"/>
      <c r="H1519" s="293"/>
      <c r="I1519" s="559"/>
      <c r="J1519" s="559"/>
      <c r="K1519" s="559"/>
      <c r="L1519" s="559"/>
      <c r="M1519" s="559"/>
    </row>
    <row r="1520" spans="3:13" x14ac:dyDescent="0.25">
      <c r="C1520" s="557"/>
      <c r="D1520" s="557"/>
      <c r="E1520" s="557"/>
      <c r="F1520" s="560"/>
      <c r="G1520" s="560"/>
      <c r="H1520" s="293"/>
      <c r="I1520" s="559"/>
      <c r="J1520" s="559"/>
      <c r="K1520" s="559"/>
      <c r="L1520" s="559"/>
      <c r="M1520" s="559"/>
    </row>
    <row r="1521" spans="3:13" x14ac:dyDescent="0.25">
      <c r="C1521" s="557"/>
      <c r="D1521" s="557"/>
      <c r="E1521" s="557"/>
      <c r="F1521" s="560"/>
      <c r="G1521" s="560"/>
      <c r="H1521" s="293"/>
      <c r="I1521" s="559"/>
      <c r="J1521" s="559"/>
      <c r="K1521" s="559"/>
      <c r="L1521" s="559"/>
      <c r="M1521" s="559"/>
    </row>
    <row r="1522" spans="3:13" x14ac:dyDescent="0.25">
      <c r="C1522" s="557"/>
      <c r="D1522" s="557"/>
      <c r="E1522" s="557"/>
      <c r="F1522" s="560"/>
      <c r="G1522" s="560"/>
      <c r="H1522" s="293"/>
      <c r="I1522" s="559"/>
      <c r="J1522" s="559"/>
      <c r="K1522" s="559"/>
      <c r="L1522" s="559"/>
      <c r="M1522" s="559"/>
    </row>
    <row r="1523" spans="3:13" x14ac:dyDescent="0.25">
      <c r="C1523" s="557"/>
      <c r="D1523" s="557"/>
      <c r="E1523" s="557"/>
      <c r="F1523" s="560"/>
      <c r="G1523" s="560"/>
      <c r="H1523" s="293"/>
      <c r="I1523" s="559"/>
      <c r="J1523" s="559"/>
      <c r="K1523" s="559"/>
      <c r="L1523" s="559"/>
      <c r="M1523" s="559"/>
    </row>
    <row r="1524" spans="3:13" x14ac:dyDescent="0.25">
      <c r="C1524" s="557"/>
      <c r="D1524" s="557"/>
      <c r="E1524" s="557"/>
      <c r="F1524" s="560"/>
      <c r="G1524" s="560"/>
      <c r="H1524" s="293"/>
      <c r="I1524" s="559"/>
      <c r="J1524" s="559"/>
      <c r="K1524" s="559"/>
      <c r="L1524" s="559"/>
      <c r="M1524" s="559"/>
    </row>
    <row r="1525" spans="3:13" x14ac:dyDescent="0.25">
      <c r="C1525" s="557"/>
      <c r="D1525" s="557"/>
      <c r="E1525" s="557"/>
      <c r="F1525" s="560"/>
      <c r="G1525" s="560"/>
      <c r="H1525" s="293"/>
      <c r="I1525" s="559"/>
      <c r="J1525" s="559"/>
      <c r="K1525" s="559"/>
      <c r="L1525" s="559"/>
      <c r="M1525" s="559"/>
    </row>
    <row r="1526" spans="3:13" x14ac:dyDescent="0.25">
      <c r="C1526" s="557"/>
      <c r="D1526" s="557"/>
      <c r="E1526" s="557"/>
      <c r="F1526" s="560"/>
      <c r="G1526" s="560"/>
      <c r="H1526" s="293"/>
      <c r="I1526" s="559"/>
      <c r="J1526" s="559"/>
      <c r="K1526" s="559"/>
      <c r="L1526" s="559"/>
      <c r="M1526" s="559"/>
    </row>
    <row r="1527" spans="3:13" x14ac:dyDescent="0.25">
      <c r="C1527" s="557"/>
      <c r="D1527" s="557"/>
      <c r="E1527" s="557"/>
      <c r="F1527" s="560"/>
      <c r="G1527" s="560"/>
      <c r="H1527" s="293"/>
      <c r="I1527" s="559"/>
      <c r="J1527" s="559"/>
      <c r="K1527" s="559"/>
      <c r="L1527" s="559"/>
      <c r="M1527" s="559"/>
    </row>
    <row r="1528" spans="3:13" x14ac:dyDescent="0.25">
      <c r="C1528" s="557"/>
      <c r="D1528" s="557"/>
      <c r="E1528" s="557"/>
      <c r="F1528" s="560"/>
      <c r="G1528" s="560"/>
      <c r="H1528" s="293"/>
      <c r="I1528" s="559"/>
      <c r="J1528" s="559"/>
      <c r="K1528" s="559"/>
      <c r="L1528" s="559"/>
      <c r="M1528" s="559"/>
    </row>
    <row r="1529" spans="3:13" x14ac:dyDescent="0.25">
      <c r="C1529" s="557"/>
      <c r="D1529" s="557"/>
      <c r="E1529" s="557"/>
      <c r="F1529" s="560"/>
      <c r="G1529" s="560"/>
      <c r="H1529" s="293"/>
      <c r="I1529" s="559"/>
      <c r="J1529" s="559"/>
      <c r="K1529" s="559"/>
      <c r="L1529" s="559"/>
      <c r="M1529" s="559"/>
    </row>
    <row r="1530" spans="3:13" x14ac:dyDescent="0.25">
      <c r="C1530" s="557"/>
      <c r="D1530" s="557"/>
      <c r="E1530" s="557"/>
      <c r="F1530" s="560"/>
      <c r="G1530" s="560"/>
      <c r="H1530" s="293"/>
      <c r="I1530" s="559"/>
      <c r="J1530" s="559"/>
      <c r="K1530" s="559"/>
      <c r="L1530" s="559"/>
      <c r="M1530" s="559"/>
    </row>
    <row r="1531" spans="3:13" x14ac:dyDescent="0.25">
      <c r="C1531" s="557"/>
      <c r="D1531" s="557"/>
      <c r="E1531" s="557"/>
      <c r="F1531" s="560"/>
      <c r="G1531" s="560"/>
      <c r="H1531" s="293"/>
      <c r="I1531" s="559"/>
      <c r="J1531" s="559"/>
      <c r="K1531" s="559"/>
      <c r="L1531" s="559"/>
      <c r="M1531" s="559"/>
    </row>
    <row r="1532" spans="3:13" x14ac:dyDescent="0.25">
      <c r="C1532" s="557"/>
      <c r="D1532" s="557"/>
      <c r="E1532" s="557"/>
      <c r="F1532" s="560"/>
      <c r="G1532" s="560"/>
      <c r="H1532" s="293"/>
      <c r="I1532" s="559"/>
      <c r="J1532" s="559"/>
      <c r="K1532" s="559"/>
      <c r="L1532" s="559"/>
      <c r="M1532" s="559"/>
    </row>
    <row r="1533" spans="3:13" x14ac:dyDescent="0.25">
      <c r="C1533" s="557"/>
      <c r="D1533" s="557"/>
      <c r="E1533" s="557"/>
      <c r="F1533" s="560"/>
      <c r="G1533" s="560"/>
      <c r="H1533" s="293"/>
      <c r="I1533" s="559"/>
      <c r="J1533" s="559"/>
      <c r="K1533" s="559"/>
      <c r="L1533" s="559"/>
      <c r="M1533" s="559"/>
    </row>
    <row r="1534" spans="3:13" x14ac:dyDescent="0.25">
      <c r="C1534" s="557"/>
      <c r="D1534" s="557"/>
      <c r="E1534" s="557"/>
      <c r="F1534" s="560"/>
      <c r="G1534" s="560"/>
      <c r="H1534" s="293"/>
      <c r="I1534" s="559"/>
      <c r="J1534" s="559"/>
      <c r="K1534" s="559"/>
      <c r="L1534" s="559"/>
      <c r="M1534" s="559"/>
    </row>
    <row r="1535" spans="3:13" x14ac:dyDescent="0.25">
      <c r="C1535" s="557"/>
      <c r="D1535" s="557"/>
      <c r="E1535" s="557"/>
      <c r="F1535" s="560"/>
      <c r="G1535" s="560"/>
      <c r="H1535" s="293"/>
      <c r="I1535" s="559"/>
      <c r="J1535" s="559"/>
      <c r="K1535" s="559"/>
      <c r="L1535" s="559"/>
      <c r="M1535" s="559"/>
    </row>
    <row r="1536" spans="3:13" x14ac:dyDescent="0.25">
      <c r="C1536" s="557"/>
      <c r="D1536" s="557"/>
      <c r="E1536" s="557"/>
      <c r="F1536" s="560"/>
      <c r="G1536" s="560"/>
      <c r="H1536" s="293"/>
      <c r="I1536" s="559"/>
      <c r="J1536" s="559"/>
      <c r="K1536" s="559"/>
      <c r="L1536" s="559"/>
      <c r="M1536" s="559"/>
    </row>
    <row r="1537" spans="3:13" x14ac:dyDescent="0.25">
      <c r="C1537" s="557"/>
      <c r="D1537" s="557"/>
      <c r="E1537" s="557"/>
      <c r="F1537" s="560"/>
      <c r="G1537" s="560"/>
      <c r="H1537" s="293"/>
      <c r="I1537" s="559"/>
      <c r="J1537" s="559"/>
      <c r="K1537" s="559"/>
      <c r="L1537" s="559"/>
      <c r="M1537" s="559"/>
    </row>
    <row r="1538" spans="3:13" x14ac:dyDescent="0.25">
      <c r="C1538" s="557"/>
      <c r="D1538" s="557"/>
      <c r="E1538" s="557"/>
      <c r="F1538" s="560"/>
      <c r="G1538" s="560"/>
      <c r="H1538" s="293"/>
      <c r="I1538" s="559"/>
      <c r="J1538" s="559"/>
      <c r="K1538" s="559"/>
      <c r="L1538" s="559"/>
      <c r="M1538" s="559"/>
    </row>
    <row r="1539" spans="3:13" x14ac:dyDescent="0.25">
      <c r="C1539" s="557"/>
      <c r="D1539" s="557"/>
      <c r="E1539" s="557"/>
      <c r="F1539" s="560"/>
      <c r="G1539" s="560"/>
      <c r="H1539" s="293"/>
      <c r="I1539" s="559"/>
      <c r="J1539" s="559"/>
      <c r="K1539" s="559"/>
      <c r="L1539" s="559"/>
      <c r="M1539" s="559"/>
    </row>
    <row r="1540" spans="3:13" x14ac:dyDescent="0.25">
      <c r="C1540" s="557"/>
      <c r="D1540" s="557"/>
      <c r="E1540" s="557"/>
      <c r="F1540" s="560"/>
      <c r="G1540" s="560"/>
      <c r="H1540" s="293"/>
      <c r="I1540" s="559"/>
      <c r="J1540" s="559"/>
      <c r="K1540" s="559"/>
      <c r="L1540" s="559"/>
      <c r="M1540" s="559"/>
    </row>
    <row r="1541" spans="3:13" x14ac:dyDescent="0.25">
      <c r="C1541" s="557"/>
      <c r="D1541" s="557"/>
      <c r="E1541" s="557"/>
      <c r="F1541" s="560"/>
      <c r="G1541" s="560"/>
      <c r="H1541" s="293"/>
      <c r="I1541" s="559"/>
      <c r="J1541" s="559"/>
      <c r="K1541" s="559"/>
      <c r="L1541" s="559"/>
      <c r="M1541" s="559"/>
    </row>
    <row r="1542" spans="3:13" x14ac:dyDescent="0.25">
      <c r="C1542" s="557"/>
      <c r="D1542" s="557"/>
      <c r="E1542" s="557"/>
      <c r="F1542" s="560"/>
      <c r="G1542" s="560"/>
      <c r="H1542" s="293"/>
      <c r="I1542" s="559"/>
      <c r="J1542" s="559"/>
      <c r="K1542" s="559"/>
      <c r="L1542" s="559"/>
      <c r="M1542" s="559"/>
    </row>
    <row r="1543" spans="3:13" x14ac:dyDescent="0.25">
      <c r="C1543" s="557"/>
      <c r="D1543" s="557"/>
      <c r="E1543" s="557"/>
      <c r="F1543" s="560"/>
      <c r="G1543" s="560"/>
      <c r="H1543" s="293"/>
      <c r="I1543" s="559"/>
      <c r="J1543" s="559"/>
      <c r="K1543" s="559"/>
      <c r="L1543" s="559"/>
      <c r="M1543" s="559"/>
    </row>
    <row r="1544" spans="3:13" x14ac:dyDescent="0.25">
      <c r="C1544" s="557"/>
      <c r="D1544" s="557"/>
      <c r="E1544" s="557"/>
      <c r="F1544" s="560"/>
      <c r="G1544" s="560"/>
      <c r="H1544" s="293"/>
      <c r="I1544" s="559"/>
      <c r="J1544" s="559"/>
      <c r="K1544" s="559"/>
      <c r="L1544" s="559"/>
      <c r="M1544" s="559"/>
    </row>
    <row r="1545" spans="3:13" x14ac:dyDescent="0.25">
      <c r="C1545" s="557"/>
      <c r="D1545" s="557"/>
      <c r="E1545" s="557"/>
      <c r="F1545" s="560"/>
      <c r="G1545" s="560"/>
      <c r="H1545" s="293"/>
      <c r="I1545" s="559"/>
      <c r="J1545" s="559"/>
      <c r="K1545" s="559"/>
      <c r="L1545" s="559"/>
      <c r="M1545" s="559"/>
    </row>
    <row r="1546" spans="3:13" x14ac:dyDescent="0.25">
      <c r="C1546" s="557"/>
      <c r="D1546" s="557"/>
      <c r="E1546" s="557"/>
      <c r="F1546" s="560"/>
      <c r="G1546" s="560"/>
      <c r="H1546" s="293"/>
      <c r="I1546" s="559"/>
      <c r="J1546" s="559"/>
      <c r="K1546" s="559"/>
      <c r="L1546" s="559"/>
      <c r="M1546" s="559"/>
    </row>
    <row r="1547" spans="3:13" x14ac:dyDescent="0.25">
      <c r="C1547" s="557"/>
      <c r="D1547" s="557"/>
      <c r="E1547" s="557"/>
      <c r="F1547" s="560"/>
      <c r="G1547" s="560"/>
      <c r="H1547" s="293"/>
      <c r="I1547" s="559"/>
      <c r="J1547" s="559"/>
      <c r="K1547" s="559"/>
      <c r="L1547" s="559"/>
      <c r="M1547" s="559"/>
    </row>
    <row r="1548" spans="3:13" x14ac:dyDescent="0.25">
      <c r="C1548" s="557"/>
      <c r="D1548" s="557"/>
      <c r="E1548" s="557"/>
      <c r="F1548" s="560"/>
      <c r="G1548" s="560"/>
      <c r="H1548" s="293"/>
      <c r="I1548" s="559"/>
      <c r="J1548" s="559"/>
      <c r="K1548" s="559"/>
      <c r="L1548" s="559"/>
      <c r="M1548" s="559"/>
    </row>
    <row r="1549" spans="3:13" x14ac:dyDescent="0.25">
      <c r="C1549" s="557"/>
      <c r="D1549" s="557"/>
      <c r="E1549" s="557"/>
      <c r="F1549" s="560"/>
      <c r="G1549" s="560"/>
      <c r="H1549" s="293"/>
      <c r="I1549" s="559"/>
      <c r="J1549" s="559"/>
      <c r="K1549" s="559"/>
      <c r="L1549" s="559"/>
      <c r="M1549" s="559"/>
    </row>
    <row r="1550" spans="3:13" x14ac:dyDescent="0.25">
      <c r="C1550" s="557"/>
      <c r="D1550" s="557"/>
      <c r="E1550" s="557"/>
      <c r="F1550" s="560"/>
      <c r="G1550" s="560"/>
      <c r="H1550" s="293"/>
      <c r="I1550" s="559"/>
      <c r="J1550" s="559"/>
      <c r="K1550" s="559"/>
      <c r="L1550" s="559"/>
      <c r="M1550" s="559"/>
    </row>
    <row r="1551" spans="3:13" x14ac:dyDescent="0.25">
      <c r="C1551" s="557"/>
      <c r="D1551" s="557"/>
      <c r="E1551" s="557"/>
      <c r="F1551" s="560"/>
      <c r="G1551" s="560"/>
      <c r="H1551" s="293"/>
      <c r="I1551" s="559"/>
      <c r="J1551" s="559"/>
      <c r="K1551" s="559"/>
      <c r="L1551" s="559"/>
      <c r="M1551" s="559"/>
    </row>
    <row r="1552" spans="3:13" x14ac:dyDescent="0.25">
      <c r="C1552" s="557"/>
      <c r="D1552" s="557"/>
      <c r="E1552" s="557"/>
      <c r="F1552" s="560"/>
      <c r="G1552" s="560"/>
      <c r="H1552" s="293"/>
      <c r="I1552" s="559"/>
      <c r="J1552" s="559"/>
      <c r="K1552" s="559"/>
      <c r="L1552" s="559"/>
      <c r="M1552" s="559"/>
    </row>
    <row r="1553" spans="3:13" x14ac:dyDescent="0.25">
      <c r="C1553" s="557"/>
      <c r="D1553" s="557"/>
      <c r="E1553" s="557"/>
      <c r="F1553" s="560"/>
      <c r="G1553" s="560"/>
      <c r="H1553" s="293"/>
      <c r="I1553" s="559"/>
      <c r="J1553" s="559"/>
      <c r="K1553" s="559"/>
      <c r="L1553" s="559"/>
      <c r="M1553" s="559"/>
    </row>
    <row r="1554" spans="3:13" x14ac:dyDescent="0.25">
      <c r="C1554" s="557"/>
      <c r="D1554" s="557"/>
      <c r="E1554" s="557"/>
      <c r="F1554" s="560"/>
      <c r="G1554" s="560"/>
      <c r="H1554" s="293"/>
      <c r="I1554" s="559"/>
      <c r="J1554" s="559"/>
      <c r="K1554" s="559"/>
      <c r="L1554" s="559"/>
      <c r="M1554" s="559"/>
    </row>
    <row r="1555" spans="3:13" x14ac:dyDescent="0.25">
      <c r="C1555" s="557"/>
      <c r="D1555" s="557"/>
      <c r="E1555" s="557"/>
      <c r="F1555" s="560"/>
      <c r="G1555" s="560"/>
      <c r="H1555" s="293"/>
      <c r="I1555" s="559"/>
      <c r="J1555" s="559"/>
      <c r="K1555" s="559"/>
      <c r="L1555" s="559"/>
      <c r="M1555" s="559"/>
    </row>
    <row r="1556" spans="3:13" x14ac:dyDescent="0.25">
      <c r="C1556" s="557"/>
      <c r="D1556" s="557"/>
      <c r="E1556" s="557"/>
      <c r="F1556" s="560"/>
      <c r="G1556" s="560"/>
      <c r="H1556" s="293"/>
      <c r="I1556" s="559"/>
      <c r="J1556" s="559"/>
      <c r="K1556" s="559"/>
      <c r="L1556" s="559"/>
      <c r="M1556" s="559"/>
    </row>
    <row r="1557" spans="3:13" x14ac:dyDescent="0.25">
      <c r="C1557" s="557"/>
      <c r="D1557" s="557"/>
      <c r="E1557" s="557"/>
      <c r="F1557" s="560"/>
      <c r="G1557" s="560"/>
      <c r="H1557" s="293"/>
      <c r="I1557" s="559"/>
      <c r="J1557" s="559"/>
      <c r="K1557" s="559"/>
      <c r="L1557" s="559"/>
      <c r="M1557" s="559"/>
    </row>
    <row r="1558" spans="3:13" x14ac:dyDescent="0.25">
      <c r="C1558" s="557"/>
      <c r="D1558" s="557"/>
      <c r="E1558" s="557"/>
      <c r="F1558" s="560"/>
      <c r="G1558" s="560"/>
      <c r="H1558" s="293"/>
      <c r="I1558" s="559"/>
      <c r="J1558" s="559"/>
      <c r="K1558" s="559"/>
      <c r="L1558" s="559"/>
      <c r="M1558" s="559"/>
    </row>
    <row r="1559" spans="3:13" x14ac:dyDescent="0.25">
      <c r="C1559" s="557"/>
      <c r="D1559" s="557"/>
      <c r="E1559" s="557"/>
      <c r="F1559" s="560"/>
      <c r="G1559" s="560"/>
      <c r="H1559" s="293"/>
      <c r="I1559" s="559"/>
      <c r="J1559" s="559"/>
      <c r="K1559" s="559"/>
      <c r="L1559" s="559"/>
      <c r="M1559" s="559"/>
    </row>
    <row r="1560" spans="3:13" x14ac:dyDescent="0.25">
      <c r="C1560" s="557"/>
      <c r="D1560" s="557"/>
      <c r="E1560" s="557"/>
      <c r="F1560" s="560"/>
      <c r="G1560" s="560"/>
      <c r="H1560" s="293"/>
      <c r="I1560" s="559"/>
      <c r="J1560" s="559"/>
      <c r="K1560" s="559"/>
      <c r="L1560" s="559"/>
      <c r="M1560" s="559"/>
    </row>
    <row r="1561" spans="3:13" x14ac:dyDescent="0.25">
      <c r="C1561" s="557"/>
      <c r="D1561" s="557"/>
      <c r="E1561" s="557"/>
      <c r="F1561" s="560"/>
      <c r="G1561" s="560"/>
      <c r="H1561" s="293"/>
      <c r="I1561" s="559"/>
      <c r="J1561" s="559"/>
      <c r="K1561" s="559"/>
      <c r="L1561" s="559"/>
      <c r="M1561" s="559"/>
    </row>
    <row r="1562" spans="3:13" x14ac:dyDescent="0.25">
      <c r="C1562" s="557"/>
      <c r="D1562" s="557"/>
      <c r="E1562" s="557"/>
      <c r="F1562" s="560"/>
      <c r="G1562" s="560"/>
      <c r="H1562" s="293"/>
      <c r="I1562" s="559"/>
      <c r="J1562" s="559"/>
      <c r="K1562" s="559"/>
      <c r="L1562" s="559"/>
      <c r="M1562" s="559"/>
    </row>
    <row r="1563" spans="3:13" x14ac:dyDescent="0.25">
      <c r="C1563" s="557"/>
      <c r="D1563" s="557"/>
      <c r="E1563" s="557"/>
      <c r="F1563" s="560"/>
      <c r="G1563" s="560"/>
      <c r="H1563" s="293"/>
      <c r="I1563" s="559"/>
      <c r="J1563" s="559"/>
      <c r="K1563" s="559"/>
      <c r="L1563" s="559"/>
      <c r="M1563" s="559"/>
    </row>
    <row r="1564" spans="3:13" x14ac:dyDescent="0.25">
      <c r="C1564" s="557"/>
      <c r="D1564" s="557"/>
      <c r="E1564" s="557"/>
      <c r="F1564" s="560"/>
      <c r="G1564" s="560"/>
      <c r="H1564" s="293"/>
      <c r="I1564" s="559"/>
      <c r="J1564" s="559"/>
      <c r="K1564" s="559"/>
      <c r="L1564" s="559"/>
      <c r="M1564" s="559"/>
    </row>
    <row r="1565" spans="3:13" x14ac:dyDescent="0.25">
      <c r="C1565" s="557"/>
      <c r="D1565" s="557"/>
      <c r="E1565" s="557"/>
      <c r="F1565" s="560"/>
      <c r="G1565" s="560"/>
      <c r="H1565" s="293"/>
      <c r="I1565" s="559"/>
      <c r="J1565" s="559"/>
      <c r="K1565" s="559"/>
      <c r="L1565" s="559"/>
      <c r="M1565" s="559"/>
    </row>
    <row r="1566" spans="3:13" x14ac:dyDescent="0.25">
      <c r="C1566" s="557"/>
      <c r="D1566" s="557"/>
      <c r="E1566" s="557"/>
      <c r="F1566" s="560"/>
      <c r="G1566" s="560"/>
      <c r="H1566" s="293"/>
      <c r="I1566" s="559"/>
      <c r="J1566" s="559"/>
      <c r="K1566" s="559"/>
      <c r="L1566" s="559"/>
      <c r="M1566" s="559"/>
    </row>
    <row r="1567" spans="3:13" x14ac:dyDescent="0.25">
      <c r="C1567" s="557"/>
      <c r="D1567" s="557"/>
      <c r="E1567" s="557"/>
      <c r="F1567" s="560"/>
      <c r="G1567" s="560"/>
      <c r="H1567" s="293"/>
      <c r="I1567" s="559"/>
      <c r="J1567" s="559"/>
      <c r="K1567" s="559"/>
      <c r="L1567" s="559"/>
      <c r="M1567" s="559"/>
    </row>
    <row r="1568" spans="3:13" x14ac:dyDescent="0.25">
      <c r="C1568" s="557"/>
      <c r="D1568" s="557"/>
      <c r="E1568" s="557"/>
      <c r="F1568" s="560"/>
      <c r="G1568" s="560"/>
      <c r="H1568" s="293"/>
      <c r="I1568" s="559"/>
      <c r="J1568" s="559"/>
      <c r="K1568" s="559"/>
      <c r="L1568" s="559"/>
      <c r="M1568" s="559"/>
    </row>
    <row r="1569" spans="3:13" x14ac:dyDescent="0.25">
      <c r="C1569" s="557"/>
      <c r="D1569" s="557"/>
      <c r="E1569" s="557"/>
      <c r="F1569" s="560"/>
      <c r="G1569" s="560"/>
      <c r="H1569" s="293"/>
      <c r="I1569" s="559"/>
      <c r="J1569" s="559"/>
      <c r="K1569" s="559"/>
      <c r="L1569" s="559"/>
      <c r="M1569" s="559"/>
    </row>
    <row r="1570" spans="3:13" x14ac:dyDescent="0.25">
      <c r="C1570" s="557"/>
      <c r="D1570" s="557"/>
      <c r="E1570" s="557"/>
      <c r="F1570" s="560"/>
      <c r="G1570" s="560"/>
      <c r="H1570" s="293"/>
      <c r="I1570" s="559"/>
      <c r="J1570" s="559"/>
      <c r="K1570" s="559"/>
      <c r="L1570" s="559"/>
      <c r="M1570" s="559"/>
    </row>
    <row r="1571" spans="3:13" x14ac:dyDescent="0.25">
      <c r="C1571" s="557"/>
      <c r="D1571" s="557"/>
      <c r="E1571" s="557"/>
      <c r="F1571" s="560"/>
      <c r="G1571" s="560"/>
      <c r="H1571" s="293"/>
      <c r="I1571" s="559"/>
      <c r="J1571" s="559"/>
      <c r="K1571" s="559"/>
      <c r="L1571" s="559"/>
      <c r="M1571" s="559"/>
    </row>
    <row r="1572" spans="3:13" x14ac:dyDescent="0.25">
      <c r="C1572" s="557"/>
      <c r="D1572" s="557"/>
      <c r="E1572" s="557"/>
      <c r="F1572" s="560"/>
      <c r="G1572" s="560"/>
      <c r="H1572" s="293"/>
      <c r="I1572" s="559"/>
      <c r="J1572" s="559"/>
      <c r="K1572" s="559"/>
      <c r="L1572" s="559"/>
      <c r="M1572" s="559"/>
    </row>
    <row r="1573" spans="3:13" x14ac:dyDescent="0.25">
      <c r="C1573" s="557"/>
      <c r="D1573" s="557"/>
      <c r="E1573" s="557"/>
      <c r="F1573" s="560"/>
      <c r="G1573" s="560"/>
      <c r="H1573" s="293"/>
      <c r="I1573" s="559"/>
      <c r="J1573" s="559"/>
      <c r="K1573" s="559"/>
      <c r="L1573" s="559"/>
      <c r="M1573" s="559"/>
    </row>
    <row r="1574" spans="3:13" x14ac:dyDescent="0.25">
      <c r="C1574" s="557"/>
      <c r="D1574" s="557"/>
      <c r="E1574" s="557"/>
      <c r="F1574" s="560"/>
      <c r="G1574" s="560"/>
      <c r="H1574" s="293"/>
      <c r="I1574" s="559"/>
      <c r="J1574" s="559"/>
      <c r="K1574" s="559"/>
      <c r="L1574" s="559"/>
      <c r="M1574" s="559"/>
    </row>
    <row r="1575" spans="3:13" x14ac:dyDescent="0.25">
      <c r="C1575" s="557"/>
      <c r="D1575" s="557"/>
      <c r="E1575" s="557"/>
      <c r="F1575" s="560"/>
      <c r="G1575" s="560"/>
      <c r="H1575" s="293"/>
      <c r="I1575" s="559"/>
      <c r="J1575" s="559"/>
      <c r="K1575" s="559"/>
      <c r="L1575" s="559"/>
      <c r="M1575" s="559"/>
    </row>
    <row r="1576" spans="3:13" x14ac:dyDescent="0.25">
      <c r="C1576" s="557"/>
      <c r="D1576" s="557"/>
      <c r="E1576" s="557"/>
      <c r="F1576" s="560"/>
      <c r="G1576" s="560"/>
      <c r="H1576" s="293"/>
      <c r="I1576" s="559"/>
      <c r="J1576" s="559"/>
      <c r="K1576" s="559"/>
      <c r="L1576" s="559"/>
      <c r="M1576" s="559"/>
    </row>
    <row r="1577" spans="3:13" x14ac:dyDescent="0.25">
      <c r="C1577" s="557"/>
      <c r="D1577" s="557"/>
      <c r="E1577" s="557"/>
      <c r="F1577" s="560"/>
      <c r="G1577" s="560"/>
      <c r="H1577" s="293"/>
      <c r="I1577" s="559"/>
      <c r="J1577" s="559"/>
      <c r="K1577" s="559"/>
      <c r="L1577" s="559"/>
      <c r="M1577" s="559"/>
    </row>
    <row r="1578" spans="3:13" x14ac:dyDescent="0.25">
      <c r="C1578" s="557"/>
      <c r="D1578" s="557"/>
      <c r="E1578" s="557"/>
      <c r="F1578" s="560"/>
      <c r="G1578" s="560"/>
      <c r="H1578" s="293"/>
      <c r="I1578" s="559"/>
      <c r="J1578" s="559"/>
      <c r="K1578" s="559"/>
      <c r="L1578" s="559"/>
      <c r="M1578" s="559"/>
    </row>
    <row r="1579" spans="3:13" x14ac:dyDescent="0.25">
      <c r="C1579" s="557"/>
      <c r="D1579" s="557"/>
      <c r="E1579" s="557"/>
      <c r="F1579" s="560"/>
      <c r="G1579" s="560"/>
      <c r="H1579" s="293"/>
      <c r="I1579" s="559"/>
      <c r="J1579" s="559"/>
      <c r="K1579" s="559"/>
      <c r="L1579" s="559"/>
      <c r="M1579" s="559"/>
    </row>
    <row r="1580" spans="3:13" x14ac:dyDescent="0.25">
      <c r="C1580" s="557"/>
      <c r="D1580" s="557"/>
      <c r="E1580" s="557"/>
      <c r="F1580" s="560"/>
      <c r="G1580" s="560"/>
      <c r="H1580" s="293"/>
      <c r="I1580" s="559"/>
      <c r="J1580" s="559"/>
      <c r="K1580" s="559"/>
      <c r="L1580" s="559"/>
      <c r="M1580" s="559"/>
    </row>
    <row r="1581" spans="3:13" x14ac:dyDescent="0.25">
      <c r="C1581" s="557"/>
      <c r="D1581" s="557"/>
      <c r="E1581" s="557"/>
      <c r="F1581" s="560"/>
      <c r="G1581" s="560"/>
      <c r="H1581" s="293"/>
      <c r="I1581" s="559"/>
      <c r="J1581" s="559"/>
      <c r="K1581" s="559"/>
      <c r="L1581" s="559"/>
      <c r="M1581" s="559"/>
    </row>
    <row r="1582" spans="3:13" x14ac:dyDescent="0.25">
      <c r="C1582" s="557"/>
      <c r="D1582" s="557"/>
      <c r="E1582" s="557"/>
      <c r="F1582" s="560"/>
      <c r="G1582" s="560"/>
      <c r="H1582" s="293"/>
      <c r="I1582" s="559"/>
      <c r="J1582" s="559"/>
      <c r="K1582" s="559"/>
      <c r="L1582" s="559"/>
      <c r="M1582" s="559"/>
    </row>
    <row r="1583" spans="3:13" x14ac:dyDescent="0.25">
      <c r="C1583" s="557"/>
      <c r="D1583" s="557"/>
      <c r="E1583" s="557"/>
      <c r="F1583" s="560"/>
      <c r="G1583" s="560"/>
      <c r="H1583" s="293"/>
      <c r="I1583" s="559"/>
      <c r="J1583" s="559"/>
      <c r="K1583" s="559"/>
      <c r="L1583" s="559"/>
      <c r="M1583" s="559"/>
    </row>
    <row r="1584" spans="3:13" x14ac:dyDescent="0.25">
      <c r="C1584" s="557"/>
      <c r="D1584" s="557"/>
      <c r="E1584" s="557"/>
      <c r="F1584" s="560"/>
      <c r="G1584" s="560"/>
      <c r="H1584" s="293"/>
      <c r="I1584" s="559"/>
      <c r="J1584" s="559"/>
      <c r="K1584" s="559"/>
      <c r="L1584" s="559"/>
      <c r="M1584" s="559"/>
    </row>
    <row r="1585" spans="3:13" x14ac:dyDescent="0.25">
      <c r="C1585" s="557"/>
      <c r="D1585" s="557"/>
      <c r="E1585" s="557"/>
      <c r="F1585" s="560"/>
      <c r="G1585" s="560"/>
      <c r="H1585" s="293"/>
      <c r="I1585" s="559"/>
      <c r="J1585" s="559"/>
      <c r="K1585" s="559"/>
      <c r="L1585" s="559"/>
      <c r="M1585" s="559"/>
    </row>
    <row r="1586" spans="3:13" x14ac:dyDescent="0.25">
      <c r="C1586" s="557"/>
      <c r="D1586" s="557"/>
      <c r="E1586" s="557"/>
      <c r="F1586" s="560"/>
      <c r="G1586" s="560"/>
      <c r="H1586" s="293"/>
      <c r="I1586" s="559"/>
      <c r="J1586" s="559"/>
      <c r="K1586" s="559"/>
      <c r="L1586" s="559"/>
      <c r="M1586" s="559"/>
    </row>
    <row r="1587" spans="3:13" x14ac:dyDescent="0.25">
      <c r="C1587" s="557"/>
      <c r="D1587" s="557"/>
      <c r="E1587" s="557"/>
      <c r="F1587" s="560"/>
      <c r="G1587" s="560"/>
      <c r="H1587" s="293"/>
      <c r="I1587" s="559"/>
      <c r="J1587" s="559"/>
      <c r="K1587" s="559"/>
      <c r="L1587" s="559"/>
      <c r="M1587" s="559"/>
    </row>
    <row r="1588" spans="3:13" x14ac:dyDescent="0.25">
      <c r="C1588" s="557"/>
      <c r="D1588" s="557"/>
      <c r="E1588" s="557"/>
      <c r="F1588" s="560"/>
      <c r="G1588" s="560"/>
      <c r="H1588" s="293"/>
      <c r="I1588" s="559"/>
      <c r="J1588" s="559"/>
      <c r="K1588" s="559"/>
      <c r="L1588" s="559"/>
      <c r="M1588" s="559"/>
    </row>
    <row r="1589" spans="3:13" x14ac:dyDescent="0.25">
      <c r="C1589" s="557"/>
      <c r="D1589" s="557"/>
      <c r="E1589" s="557"/>
      <c r="F1589" s="560"/>
      <c r="G1589" s="560"/>
      <c r="H1589" s="293"/>
      <c r="I1589" s="559"/>
      <c r="J1589" s="559"/>
      <c r="K1589" s="559"/>
      <c r="L1589" s="559"/>
      <c r="M1589" s="559"/>
    </row>
    <row r="1590" spans="3:13" x14ac:dyDescent="0.25">
      <c r="C1590" s="557"/>
      <c r="D1590" s="557"/>
      <c r="E1590" s="557"/>
      <c r="F1590" s="560"/>
      <c r="G1590" s="560"/>
      <c r="H1590" s="293"/>
      <c r="I1590" s="559"/>
      <c r="J1590" s="559"/>
      <c r="K1590" s="559"/>
      <c r="L1590" s="559"/>
      <c r="M1590" s="559"/>
    </row>
    <row r="1591" spans="3:13" x14ac:dyDescent="0.25">
      <c r="C1591" s="557"/>
      <c r="D1591" s="557"/>
      <c r="E1591" s="557"/>
      <c r="F1591" s="560"/>
      <c r="G1591" s="560"/>
      <c r="H1591" s="293"/>
      <c r="I1591" s="559"/>
      <c r="J1591" s="559"/>
      <c r="K1591" s="559"/>
      <c r="L1591" s="559"/>
      <c r="M1591" s="559"/>
    </row>
    <row r="1592" spans="3:13" x14ac:dyDescent="0.25">
      <c r="C1592" s="557"/>
      <c r="D1592" s="557"/>
      <c r="E1592" s="557"/>
      <c r="F1592" s="560"/>
      <c r="G1592" s="560"/>
      <c r="H1592" s="293"/>
      <c r="I1592" s="559"/>
      <c r="J1592" s="559"/>
      <c r="K1592" s="559"/>
      <c r="L1592" s="559"/>
      <c r="M1592" s="559"/>
    </row>
    <row r="1593" spans="3:13" x14ac:dyDescent="0.25">
      <c r="C1593" s="557"/>
      <c r="D1593" s="557"/>
      <c r="E1593" s="557"/>
      <c r="F1593" s="560"/>
      <c r="G1593" s="560"/>
      <c r="H1593" s="293"/>
      <c r="I1593" s="559"/>
      <c r="J1593" s="559"/>
      <c r="K1593" s="559"/>
      <c r="L1593" s="559"/>
      <c r="M1593" s="559"/>
    </row>
    <row r="1594" spans="3:13" x14ac:dyDescent="0.25">
      <c r="C1594" s="557"/>
      <c r="D1594" s="557"/>
      <c r="E1594" s="557"/>
      <c r="F1594" s="560"/>
      <c r="G1594" s="560"/>
      <c r="H1594" s="293"/>
      <c r="I1594" s="559"/>
      <c r="J1594" s="559"/>
      <c r="K1594" s="559"/>
      <c r="L1594" s="559"/>
      <c r="M1594" s="559"/>
    </row>
    <row r="1595" spans="3:13" x14ac:dyDescent="0.25">
      <c r="C1595" s="557"/>
      <c r="D1595" s="557"/>
      <c r="E1595" s="557"/>
      <c r="F1595" s="560"/>
      <c r="G1595" s="560"/>
      <c r="H1595" s="293"/>
      <c r="I1595" s="559"/>
      <c r="J1595" s="559"/>
      <c r="K1595" s="559"/>
      <c r="L1595" s="559"/>
      <c r="M1595" s="559"/>
    </row>
    <row r="1596" spans="3:13" x14ac:dyDescent="0.25">
      <c r="C1596" s="557"/>
      <c r="D1596" s="557"/>
      <c r="E1596" s="557"/>
      <c r="F1596" s="560"/>
      <c r="G1596" s="560"/>
      <c r="H1596" s="293"/>
      <c r="I1596" s="559"/>
      <c r="J1596" s="559"/>
      <c r="K1596" s="559"/>
      <c r="L1596" s="559"/>
      <c r="M1596" s="559"/>
    </row>
    <row r="1597" spans="3:13" x14ac:dyDescent="0.25">
      <c r="C1597" s="557"/>
      <c r="D1597" s="557"/>
      <c r="E1597" s="557"/>
      <c r="F1597" s="560"/>
      <c r="G1597" s="560"/>
      <c r="H1597" s="293"/>
      <c r="I1597" s="559"/>
      <c r="J1597" s="559"/>
      <c r="K1597" s="559"/>
      <c r="L1597" s="559"/>
      <c r="M1597" s="559"/>
    </row>
    <row r="1598" spans="3:13" x14ac:dyDescent="0.25">
      <c r="C1598" s="557"/>
      <c r="D1598" s="557"/>
      <c r="E1598" s="557"/>
      <c r="F1598" s="560"/>
      <c r="G1598" s="560"/>
      <c r="H1598" s="293"/>
      <c r="I1598" s="559"/>
      <c r="J1598" s="559"/>
      <c r="K1598" s="559"/>
      <c r="L1598" s="559"/>
      <c r="M1598" s="559"/>
    </row>
    <row r="1599" spans="3:13" x14ac:dyDescent="0.25">
      <c r="C1599" s="557"/>
      <c r="D1599" s="557"/>
      <c r="E1599" s="557"/>
      <c r="F1599" s="560"/>
      <c r="G1599" s="560"/>
      <c r="H1599" s="293"/>
      <c r="I1599" s="559"/>
      <c r="J1599" s="559"/>
      <c r="K1599" s="559"/>
      <c r="L1599" s="559"/>
      <c r="M1599" s="559"/>
    </row>
    <row r="1600" spans="3:13" x14ac:dyDescent="0.25">
      <c r="C1600" s="557"/>
      <c r="D1600" s="557"/>
      <c r="E1600" s="557"/>
      <c r="F1600" s="560"/>
      <c r="G1600" s="560"/>
      <c r="H1600" s="293"/>
      <c r="I1600" s="559"/>
      <c r="J1600" s="559"/>
      <c r="K1600" s="559"/>
      <c r="L1600" s="559"/>
      <c r="M1600" s="559"/>
    </row>
    <row r="1601" spans="3:13" x14ac:dyDescent="0.25">
      <c r="C1601" s="557"/>
      <c r="D1601" s="557"/>
      <c r="E1601" s="557"/>
      <c r="F1601" s="560"/>
      <c r="G1601" s="560"/>
      <c r="H1601" s="293"/>
      <c r="I1601" s="559"/>
      <c r="J1601" s="559"/>
      <c r="K1601" s="559"/>
      <c r="L1601" s="559"/>
      <c r="M1601" s="559"/>
    </row>
    <row r="1602" spans="3:13" x14ac:dyDescent="0.25">
      <c r="C1602" s="557"/>
      <c r="D1602" s="557"/>
      <c r="E1602" s="557"/>
      <c r="F1602" s="560"/>
      <c r="G1602" s="560"/>
      <c r="H1602" s="293"/>
      <c r="I1602" s="559"/>
      <c r="J1602" s="559"/>
      <c r="K1602" s="559"/>
      <c r="L1602" s="559"/>
      <c r="M1602" s="559"/>
    </row>
    <row r="1603" spans="3:13" x14ac:dyDescent="0.25">
      <c r="C1603" s="557"/>
      <c r="D1603" s="557"/>
      <c r="E1603" s="557"/>
      <c r="F1603" s="560"/>
      <c r="G1603" s="560"/>
      <c r="H1603" s="293"/>
      <c r="I1603" s="559"/>
      <c r="J1603" s="559"/>
      <c r="K1603" s="559"/>
      <c r="L1603" s="559"/>
      <c r="M1603" s="559"/>
    </row>
    <row r="1604" spans="3:13" x14ac:dyDescent="0.25">
      <c r="C1604" s="557"/>
      <c r="D1604" s="557"/>
      <c r="E1604" s="557"/>
      <c r="F1604" s="560"/>
      <c r="G1604" s="560"/>
      <c r="H1604" s="293"/>
      <c r="I1604" s="559"/>
      <c r="J1604" s="559"/>
      <c r="K1604" s="559"/>
      <c r="L1604" s="559"/>
      <c r="M1604" s="559"/>
    </row>
  </sheetData>
  <autoFilter ref="A9:X551">
    <filterColumn colId="10">
      <filters>
        <filter val="0,0"/>
        <filter val="0,2"/>
        <filter val="1 017,7"/>
        <filter val="1 038,0"/>
        <filter val="1 064 376,0"/>
        <filter val="1 100,0"/>
        <filter val="1 103 329,7"/>
        <filter val="1 230,7"/>
        <filter val="1 344,9"/>
        <filter val="1 400,0"/>
        <filter val="1 415,2"/>
        <filter val="1 447,2"/>
        <filter val="1 490,0"/>
        <filter val="1 548,0"/>
        <filter val="1 580,0"/>
        <filter val="1 587,0"/>
        <filter val="1 642 200,3"/>
        <filter val="1 752,6"/>
        <filter val="1 988 961,7"/>
        <filter val="1,0"/>
        <filter val="10 000,0"/>
        <filter val="-10 000,0"/>
        <filter val="10 063,3"/>
        <filter val="10 346,3"/>
        <filter val="10 597,1"/>
        <filter val="10 898,4"/>
        <filter val="100 066,0"/>
        <filter val="102 660,0"/>
        <filter val="105 053,0"/>
        <filter val="109 715,1"/>
        <filter val="114,5"/>
        <filter val="117 087,0"/>
        <filter val="117 426,1"/>
        <filter val="12 276,5"/>
        <filter val="12 562,2"/>
        <filter val="121 296,6"/>
        <filter val="123 433,6"/>
        <filter val="124 324,1"/>
        <filter val="130 113,9"/>
        <filter val="133 439,8"/>
        <filter val="14 939,7"/>
        <filter val="14 996,2"/>
        <filter val="149 567,5"/>
        <filter val="149 640,0"/>
        <filter val="15,0"/>
        <filter val="16 013,7"/>
        <filter val="16 090,0"/>
        <filter val="16 100,0"/>
        <filter val="16 200,0"/>
        <filter val="16 241,7"/>
        <filter val="168,0"/>
        <filter val="169 547,1"/>
        <filter val="17 595,0"/>
        <filter val="171,8"/>
        <filter val="176,1"/>
        <filter val="19 421,1"/>
        <filter val="195 735,7"/>
        <filter val="199,0"/>
        <filter val="2 027,7"/>
        <filter val="2 100 791,9"/>
        <filter val="2 116 991,9"/>
        <filter val="2 176,0"/>
        <filter val="2 237 906,0"/>
        <filter val="2 650,0"/>
        <filter val="2 655,3"/>
        <filter val="2 676,9"/>
        <filter val="2 972,9"/>
        <filter val="20 434,7"/>
        <filter val="20 562,3"/>
        <filter val="20 911,8"/>
        <filter val="205,0"/>
        <filter val="206 850,6"/>
        <filter val="21 001,1"/>
        <filter val="22 729,0"/>
        <filter val="220 191,7"/>
        <filter val="23 880,0"/>
        <filter val="23 923,3"/>
        <filter val="24 011,8"/>
        <filter val="24 079,0"/>
        <filter val="24 945,5"/>
        <filter val="24 997,3"/>
        <filter val="242 244,1"/>
        <filter val="245,2"/>
        <filter val="246,2"/>
        <filter val="25 000,0"/>
        <filter val="25 061,0"/>
        <filter val="25 740,0"/>
        <filter val="254 709,0"/>
        <filter val="257 255,9"/>
        <filter val="26 697,1"/>
        <filter val="265 974,0"/>
        <filter val="267 241,5"/>
        <filter val="269 133,4"/>
        <filter val="269,7"/>
        <filter val="271 315,1"/>
        <filter val="282 023,1"/>
        <filter val="3 000,0"/>
        <filter val="-3 100,0"/>
        <filter val="3 397,1"/>
        <filter val="3 536,8"/>
        <filter val="3 679 803,7"/>
        <filter val="3 689,6"/>
        <filter val="3 718,9"/>
        <filter val="3 728 037,9"/>
        <filter val="3 756,3"/>
        <filter val="3 830,4"/>
        <filter val="30 000,0"/>
        <filter val="314 364,3"/>
        <filter val="318 767,6"/>
        <filter val="32,8"/>
        <filter val="323 441,0"/>
        <filter val="334 463,9"/>
        <filter val="346 761,4"/>
        <filter val="353 700,6"/>
        <filter val="353 950,1"/>
        <filter val="363 874,0"/>
        <filter val="370,7"/>
        <filter val="39 067,3"/>
        <filter val="391 054,7"/>
        <filter val="394,7"/>
        <filter val="395,7"/>
        <filter val="4 142 463,3"/>
        <filter val="4 597 054,1"/>
        <filter val="4 787 052,3"/>
        <filter val="4 855,8"/>
        <filter val="4 856 313,1"/>
        <filter val="4 877 224,9"/>
        <filter val="4 969,0"/>
        <filter val="40 278,0"/>
        <filter val="40 726,8"/>
        <filter val="401 118,1"/>
        <filter val="407,5"/>
        <filter val="42 071,7"/>
        <filter val="426,3"/>
        <filter val="44 449,1"/>
        <filter val="45 304,6"/>
        <filter val="450 958,1"/>
        <filter val="456 635,9"/>
        <filter val="460 087,5"/>
        <filter val="479 774,2"/>
        <filter val="48 538,0"/>
        <filter val="482 100,6"/>
        <filter val="5 377,3"/>
        <filter val="5 520,4"/>
        <filter val="523 610,8"/>
        <filter val="540 300,1"/>
        <filter val="55 616,8"/>
        <filter val="57 986,5"/>
        <filter val="577,6"/>
        <filter val="59 828,1"/>
        <filter val="62 812,1"/>
        <filter val="620 396,0"/>
        <filter val="63 523,3"/>
        <filter val="634 589,0"/>
        <filter val="646 693,8"/>
        <filter val="697 502,0"/>
        <filter val="7 513,6"/>
        <filter val="7,2"/>
        <filter val="70 101,6"/>
        <filter val="71 004,6"/>
        <filter val="8 424,9"/>
        <filter val="8 446,2"/>
        <filter val="819,5"/>
        <filter val="85 703,3"/>
        <filter val="-85 703,3"/>
        <filter val="86 342,2"/>
        <filter val="86 482,4"/>
        <filter val="87 789,4"/>
        <filter val="-88 803,3"/>
        <filter val="9 053,8"/>
        <filter val="9 240,0"/>
        <filter val="9 607,5"/>
        <filter val="90 172,6"/>
        <filter val="-90 172,6"/>
        <filter val="90,0"/>
        <filter val="903,1"/>
        <filter val="939 799,1"/>
        <filter val="96 115,1"/>
        <filter val="96 500,0"/>
      </filters>
    </filterColumn>
  </autoFilter>
  <mergeCells count="7">
    <mergeCell ref="L1:M1"/>
    <mergeCell ref="A6:M6"/>
    <mergeCell ref="A8:A9"/>
    <mergeCell ref="B8:B9"/>
    <mergeCell ref="C8:F8"/>
    <mergeCell ref="H8:J8"/>
    <mergeCell ref="K8:M8"/>
  </mergeCells>
  <conditionalFormatting sqref="A70 A74:A75 A79:A231 A1:H1 J1:L1">
    <cfRule type="cellIs" dxfId="16" priority="8" stopIfTrue="1" operator="equal">
      <formula>0</formula>
    </cfRule>
  </conditionalFormatting>
  <conditionalFormatting sqref="A404:A539">
    <cfRule type="cellIs" dxfId="15" priority="7" stopIfTrue="1" operator="equal">
      <formula>0</formula>
    </cfRule>
  </conditionalFormatting>
  <conditionalFormatting sqref="A232:E259">
    <cfRule type="cellIs" dxfId="14" priority="12" stopIfTrue="1" operator="equal">
      <formula>0</formula>
    </cfRule>
  </conditionalFormatting>
  <conditionalFormatting sqref="A392:E395">
    <cfRule type="cellIs" dxfId="13" priority="10" stopIfTrue="1" operator="equal">
      <formula>0</formula>
    </cfRule>
  </conditionalFormatting>
  <conditionalFormatting sqref="A9:IV9">
    <cfRule type="cellIs" dxfId="12" priority="15" stopIfTrue="1" operator="equal">
      <formula>0</formula>
    </cfRule>
  </conditionalFormatting>
  <conditionalFormatting sqref="A2:I5 K2:IV5 J5 A6:XFD8 A10:XFD11 A12:G12 A16 A27:A28 A31:A35 D195:G195 B195:C216 E196:G197 D198:G216 B217:G225 B228:IV228 F255:IV258 N260:IV261 H260:M262 N262:O262 P262:IV280 A281:XFD283 A349:A381 B349:IV391 A383 A387:A391 H392 F392:G399 B396:E399 A396:A400 B400:G401 H536:IV539 D556:G556 I556:K556 A557:XFD65582 J229:IV230 H244:IV254 J242:IV243 F259:G259 J259:IV259 A291:XFD296 A298:XFD307 A297:G297 A308:G310 A329:G329 J329:XFD329 A344:G344 J344:XFD344 A20:A24 A39:A68 A260:G280 A284:G288 B522:G523 J522:IV523 B525:G539 B521:IV521 H231:IV238 J240:J241 K239:IV241 J284:XFD284 J285:J288 A289:J289 K285:L289 J297:XFD297 M285:XFD290 A290:L290 J308:XFD310 A345:XFD348 A540:XFD555 J525:IV535 B524:IV524 F239:J239 F229:G238 F240:G254 A311:XFD328 A330:XFD343 B403:G520 J392:IV520 B13:G194 N1:XFD1 M556:IV556 H12:IV225">
    <cfRule type="cellIs" dxfId="11" priority="17" stopIfTrue="1" operator="equal">
      <formula>0</formula>
    </cfRule>
  </conditionalFormatting>
  <conditionalFormatting sqref="B229:E231">
    <cfRule type="cellIs" dxfId="10" priority="13" stopIfTrue="1" operator="equal">
      <formula>0</formula>
    </cfRule>
  </conditionalFormatting>
  <conditionalFormatting sqref="B402:I402">
    <cfRule type="cellIs" dxfId="9" priority="6" stopIfTrue="1" operator="equal">
      <formula>0</formula>
    </cfRule>
  </conditionalFormatting>
  <conditionalFormatting sqref="B226:IV227">
    <cfRule type="cellIs" dxfId="8" priority="14" stopIfTrue="1" operator="equal">
      <formula>0</formula>
    </cfRule>
  </conditionalFormatting>
  <conditionalFormatting sqref="H393:I401">
    <cfRule type="cellIs" dxfId="7" priority="16" stopIfTrue="1" operator="equal">
      <formula>0</formula>
    </cfRule>
  </conditionalFormatting>
  <conditionalFormatting sqref="H525:I527 H522:I523 H403:I520">
    <cfRule type="cellIs" dxfId="6" priority="5" stopIfTrue="1" operator="equal">
      <formula>0</formula>
    </cfRule>
  </conditionalFormatting>
  <conditionalFormatting sqref="H263:O272 H274:O274 J273:O273 J275:O275 H280:O280 J279:O279 H276:O278">
    <cfRule type="cellIs" dxfId="5" priority="11" stopIfTrue="1" operator="equal">
      <formula>0</formula>
    </cfRule>
  </conditionalFormatting>
  <conditionalFormatting sqref="I528:I534 H528:H535">
    <cfRule type="cellIs" dxfId="4" priority="9" stopIfTrue="1" operator="equal">
      <formula>0</formula>
    </cfRule>
  </conditionalFormatting>
  <conditionalFormatting sqref="H240:H243">
    <cfRule type="cellIs" dxfId="3" priority="4" stopIfTrue="1" operator="equal">
      <formula>0</formula>
    </cfRule>
  </conditionalFormatting>
  <conditionalFormatting sqref="I240:I243">
    <cfRule type="cellIs" dxfId="2" priority="3" stopIfTrue="1" operator="equal">
      <formula>0</formula>
    </cfRule>
  </conditionalFormatting>
  <conditionalFormatting sqref="A71:A73">
    <cfRule type="cellIs" dxfId="1" priority="2" stopIfTrue="1" operator="equal">
      <formula>0</formula>
    </cfRule>
  </conditionalFormatting>
  <conditionalFormatting sqref="A76:A78">
    <cfRule type="cellIs" dxfId="0" priority="1" stopIfTrue="1" operator="equal">
      <formula>0</formula>
    </cfRule>
  </conditionalFormatting>
  <pageMargins left="0.25" right="0" top="0.28000000000000003" bottom="0.19685039370078741" header="0.15748031496062992" footer="0.19685039370078741"/>
  <pageSetup paperSize="9" scale="65"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opLeftCell="A28" workbookViewId="0">
      <selection activeCell="F69" sqref="F69"/>
    </sheetView>
  </sheetViews>
  <sheetFormatPr defaultColWidth="9.109375" defaultRowHeight="15.6" x14ac:dyDescent="0.3"/>
  <cols>
    <col min="1" max="1" width="58.44140625" style="1771" customWidth="1"/>
    <col min="2" max="2" width="19" style="1774" customWidth="1"/>
    <col min="3" max="3" width="22" style="1774" customWidth="1"/>
    <col min="4" max="4" width="18" style="1774" customWidth="1"/>
    <col min="5" max="5" width="13.6640625" style="1773" bestFit="1" customWidth="1"/>
    <col min="6" max="6" width="9.109375" style="1773"/>
    <col min="7" max="7" width="9.5546875" style="1773" customWidth="1"/>
    <col min="8" max="256" width="9.109375" style="1773"/>
    <col min="257" max="257" width="58.44140625" style="1773" customWidth="1"/>
    <col min="258" max="258" width="19" style="1773" customWidth="1"/>
    <col min="259" max="259" width="22" style="1773" customWidth="1"/>
    <col min="260" max="260" width="18" style="1773" customWidth="1"/>
    <col min="261" max="261" width="13.6640625" style="1773" bestFit="1" customWidth="1"/>
    <col min="262" max="262" width="9.109375" style="1773"/>
    <col min="263" max="263" width="9.5546875" style="1773" customWidth="1"/>
    <col min="264" max="512" width="9.109375" style="1773"/>
    <col min="513" max="513" width="58.44140625" style="1773" customWidth="1"/>
    <col min="514" max="514" width="19" style="1773" customWidth="1"/>
    <col min="515" max="515" width="22" style="1773" customWidth="1"/>
    <col min="516" max="516" width="18" style="1773" customWidth="1"/>
    <col min="517" max="517" width="13.6640625" style="1773" bestFit="1" customWidth="1"/>
    <col min="518" max="518" width="9.109375" style="1773"/>
    <col min="519" max="519" width="9.5546875" style="1773" customWidth="1"/>
    <col min="520" max="768" width="9.109375" style="1773"/>
    <col min="769" max="769" width="58.44140625" style="1773" customWidth="1"/>
    <col min="770" max="770" width="19" style="1773" customWidth="1"/>
    <col min="771" max="771" width="22" style="1773" customWidth="1"/>
    <col min="772" max="772" width="18" style="1773" customWidth="1"/>
    <col min="773" max="773" width="13.6640625" style="1773" bestFit="1" customWidth="1"/>
    <col min="774" max="774" width="9.109375" style="1773"/>
    <col min="775" max="775" width="9.5546875" style="1773" customWidth="1"/>
    <col min="776" max="1024" width="9.109375" style="1773"/>
    <col min="1025" max="1025" width="58.44140625" style="1773" customWidth="1"/>
    <col min="1026" max="1026" width="19" style="1773" customWidth="1"/>
    <col min="1027" max="1027" width="22" style="1773" customWidth="1"/>
    <col min="1028" max="1028" width="18" style="1773" customWidth="1"/>
    <col min="1029" max="1029" width="13.6640625" style="1773" bestFit="1" customWidth="1"/>
    <col min="1030" max="1030" width="9.109375" style="1773"/>
    <col min="1031" max="1031" width="9.5546875" style="1773" customWidth="1"/>
    <col min="1032" max="1280" width="9.109375" style="1773"/>
    <col min="1281" max="1281" width="58.44140625" style="1773" customWidth="1"/>
    <col min="1282" max="1282" width="19" style="1773" customWidth="1"/>
    <col min="1283" max="1283" width="22" style="1773" customWidth="1"/>
    <col min="1284" max="1284" width="18" style="1773" customWidth="1"/>
    <col min="1285" max="1285" width="13.6640625" style="1773" bestFit="1" customWidth="1"/>
    <col min="1286" max="1286" width="9.109375" style="1773"/>
    <col min="1287" max="1287" width="9.5546875" style="1773" customWidth="1"/>
    <col min="1288" max="1536" width="9.109375" style="1773"/>
    <col min="1537" max="1537" width="58.44140625" style="1773" customWidth="1"/>
    <col min="1538" max="1538" width="19" style="1773" customWidth="1"/>
    <col min="1539" max="1539" width="22" style="1773" customWidth="1"/>
    <col min="1540" max="1540" width="18" style="1773" customWidth="1"/>
    <col min="1541" max="1541" width="13.6640625" style="1773" bestFit="1" customWidth="1"/>
    <col min="1542" max="1542" width="9.109375" style="1773"/>
    <col min="1543" max="1543" width="9.5546875" style="1773" customWidth="1"/>
    <col min="1544" max="1792" width="9.109375" style="1773"/>
    <col min="1793" max="1793" width="58.44140625" style="1773" customWidth="1"/>
    <col min="1794" max="1794" width="19" style="1773" customWidth="1"/>
    <col min="1795" max="1795" width="22" style="1773" customWidth="1"/>
    <col min="1796" max="1796" width="18" style="1773" customWidth="1"/>
    <col min="1797" max="1797" width="13.6640625" style="1773" bestFit="1" customWidth="1"/>
    <col min="1798" max="1798" width="9.109375" style="1773"/>
    <col min="1799" max="1799" width="9.5546875" style="1773" customWidth="1"/>
    <col min="1800" max="2048" width="9.109375" style="1773"/>
    <col min="2049" max="2049" width="58.44140625" style="1773" customWidth="1"/>
    <col min="2050" max="2050" width="19" style="1773" customWidth="1"/>
    <col min="2051" max="2051" width="22" style="1773" customWidth="1"/>
    <col min="2052" max="2052" width="18" style="1773" customWidth="1"/>
    <col min="2053" max="2053" width="13.6640625" style="1773" bestFit="1" customWidth="1"/>
    <col min="2054" max="2054" width="9.109375" style="1773"/>
    <col min="2055" max="2055" width="9.5546875" style="1773" customWidth="1"/>
    <col min="2056" max="2304" width="9.109375" style="1773"/>
    <col min="2305" max="2305" width="58.44140625" style="1773" customWidth="1"/>
    <col min="2306" max="2306" width="19" style="1773" customWidth="1"/>
    <col min="2307" max="2307" width="22" style="1773" customWidth="1"/>
    <col min="2308" max="2308" width="18" style="1773" customWidth="1"/>
    <col min="2309" max="2309" width="13.6640625" style="1773" bestFit="1" customWidth="1"/>
    <col min="2310" max="2310" width="9.109375" style="1773"/>
    <col min="2311" max="2311" width="9.5546875" style="1773" customWidth="1"/>
    <col min="2312" max="2560" width="9.109375" style="1773"/>
    <col min="2561" max="2561" width="58.44140625" style="1773" customWidth="1"/>
    <col min="2562" max="2562" width="19" style="1773" customWidth="1"/>
    <col min="2563" max="2563" width="22" style="1773" customWidth="1"/>
    <col min="2564" max="2564" width="18" style="1773" customWidth="1"/>
    <col min="2565" max="2565" width="13.6640625" style="1773" bestFit="1" customWidth="1"/>
    <col min="2566" max="2566" width="9.109375" style="1773"/>
    <col min="2567" max="2567" width="9.5546875" style="1773" customWidth="1"/>
    <col min="2568" max="2816" width="9.109375" style="1773"/>
    <col min="2817" max="2817" width="58.44140625" style="1773" customWidth="1"/>
    <col min="2818" max="2818" width="19" style="1773" customWidth="1"/>
    <col min="2819" max="2819" width="22" style="1773" customWidth="1"/>
    <col min="2820" max="2820" width="18" style="1773" customWidth="1"/>
    <col min="2821" max="2821" width="13.6640625" style="1773" bestFit="1" customWidth="1"/>
    <col min="2822" max="2822" width="9.109375" style="1773"/>
    <col min="2823" max="2823" width="9.5546875" style="1773" customWidth="1"/>
    <col min="2824" max="3072" width="9.109375" style="1773"/>
    <col min="3073" max="3073" width="58.44140625" style="1773" customWidth="1"/>
    <col min="3074" max="3074" width="19" style="1773" customWidth="1"/>
    <col min="3075" max="3075" width="22" style="1773" customWidth="1"/>
    <col min="3076" max="3076" width="18" style="1773" customWidth="1"/>
    <col min="3077" max="3077" width="13.6640625" style="1773" bestFit="1" customWidth="1"/>
    <col min="3078" max="3078" width="9.109375" style="1773"/>
    <col min="3079" max="3079" width="9.5546875" style="1773" customWidth="1"/>
    <col min="3080" max="3328" width="9.109375" style="1773"/>
    <col min="3329" max="3329" width="58.44140625" style="1773" customWidth="1"/>
    <col min="3330" max="3330" width="19" style="1773" customWidth="1"/>
    <col min="3331" max="3331" width="22" style="1773" customWidth="1"/>
    <col min="3332" max="3332" width="18" style="1773" customWidth="1"/>
    <col min="3333" max="3333" width="13.6640625" style="1773" bestFit="1" customWidth="1"/>
    <col min="3334" max="3334" width="9.109375" style="1773"/>
    <col min="3335" max="3335" width="9.5546875" style="1773" customWidth="1"/>
    <col min="3336" max="3584" width="9.109375" style="1773"/>
    <col min="3585" max="3585" width="58.44140625" style="1773" customWidth="1"/>
    <col min="3586" max="3586" width="19" style="1773" customWidth="1"/>
    <col min="3587" max="3587" width="22" style="1773" customWidth="1"/>
    <col min="3588" max="3588" width="18" style="1773" customWidth="1"/>
    <col min="3589" max="3589" width="13.6640625" style="1773" bestFit="1" customWidth="1"/>
    <col min="3590" max="3590" width="9.109375" style="1773"/>
    <col min="3591" max="3591" width="9.5546875" style="1773" customWidth="1"/>
    <col min="3592" max="3840" width="9.109375" style="1773"/>
    <col min="3841" max="3841" width="58.44140625" style="1773" customWidth="1"/>
    <col min="3842" max="3842" width="19" style="1773" customWidth="1"/>
    <col min="3843" max="3843" width="22" style="1773" customWidth="1"/>
    <col min="3844" max="3844" width="18" style="1773" customWidth="1"/>
    <col min="3845" max="3845" width="13.6640625" style="1773" bestFit="1" customWidth="1"/>
    <col min="3846" max="3846" width="9.109375" style="1773"/>
    <col min="3847" max="3847" width="9.5546875" style="1773" customWidth="1"/>
    <col min="3848" max="4096" width="9.109375" style="1773"/>
    <col min="4097" max="4097" width="58.44140625" style="1773" customWidth="1"/>
    <col min="4098" max="4098" width="19" style="1773" customWidth="1"/>
    <col min="4099" max="4099" width="22" style="1773" customWidth="1"/>
    <col min="4100" max="4100" width="18" style="1773" customWidth="1"/>
    <col min="4101" max="4101" width="13.6640625" style="1773" bestFit="1" customWidth="1"/>
    <col min="4102" max="4102" width="9.109375" style="1773"/>
    <col min="4103" max="4103" width="9.5546875" style="1773" customWidth="1"/>
    <col min="4104" max="4352" width="9.109375" style="1773"/>
    <col min="4353" max="4353" width="58.44140625" style="1773" customWidth="1"/>
    <col min="4354" max="4354" width="19" style="1773" customWidth="1"/>
    <col min="4355" max="4355" width="22" style="1773" customWidth="1"/>
    <col min="4356" max="4356" width="18" style="1773" customWidth="1"/>
    <col min="4357" max="4357" width="13.6640625" style="1773" bestFit="1" customWidth="1"/>
    <col min="4358" max="4358" width="9.109375" style="1773"/>
    <col min="4359" max="4359" width="9.5546875" style="1773" customWidth="1"/>
    <col min="4360" max="4608" width="9.109375" style="1773"/>
    <col min="4609" max="4609" width="58.44140625" style="1773" customWidth="1"/>
    <col min="4610" max="4610" width="19" style="1773" customWidth="1"/>
    <col min="4611" max="4611" width="22" style="1773" customWidth="1"/>
    <col min="4612" max="4612" width="18" style="1773" customWidth="1"/>
    <col min="4613" max="4613" width="13.6640625" style="1773" bestFit="1" customWidth="1"/>
    <col min="4614" max="4614" width="9.109375" style="1773"/>
    <col min="4615" max="4615" width="9.5546875" style="1773" customWidth="1"/>
    <col min="4616" max="4864" width="9.109375" style="1773"/>
    <col min="4865" max="4865" width="58.44140625" style="1773" customWidth="1"/>
    <col min="4866" max="4866" width="19" style="1773" customWidth="1"/>
    <col min="4867" max="4867" width="22" style="1773" customWidth="1"/>
    <col min="4868" max="4868" width="18" style="1773" customWidth="1"/>
    <col min="4869" max="4869" width="13.6640625" style="1773" bestFit="1" customWidth="1"/>
    <col min="4870" max="4870" width="9.109375" style="1773"/>
    <col min="4871" max="4871" width="9.5546875" style="1773" customWidth="1"/>
    <col min="4872" max="5120" width="9.109375" style="1773"/>
    <col min="5121" max="5121" width="58.44140625" style="1773" customWidth="1"/>
    <col min="5122" max="5122" width="19" style="1773" customWidth="1"/>
    <col min="5123" max="5123" width="22" style="1773" customWidth="1"/>
    <col min="5124" max="5124" width="18" style="1773" customWidth="1"/>
    <col min="5125" max="5125" width="13.6640625" style="1773" bestFit="1" customWidth="1"/>
    <col min="5126" max="5126" width="9.109375" style="1773"/>
    <col min="5127" max="5127" width="9.5546875" style="1773" customWidth="1"/>
    <col min="5128" max="5376" width="9.109375" style="1773"/>
    <col min="5377" max="5377" width="58.44140625" style="1773" customWidth="1"/>
    <col min="5378" max="5378" width="19" style="1773" customWidth="1"/>
    <col min="5379" max="5379" width="22" style="1773" customWidth="1"/>
    <col min="5380" max="5380" width="18" style="1773" customWidth="1"/>
    <col min="5381" max="5381" width="13.6640625" style="1773" bestFit="1" customWidth="1"/>
    <col min="5382" max="5382" width="9.109375" style="1773"/>
    <col min="5383" max="5383" width="9.5546875" style="1773" customWidth="1"/>
    <col min="5384" max="5632" width="9.109375" style="1773"/>
    <col min="5633" max="5633" width="58.44140625" style="1773" customWidth="1"/>
    <col min="5634" max="5634" width="19" style="1773" customWidth="1"/>
    <col min="5635" max="5635" width="22" style="1773" customWidth="1"/>
    <col min="5636" max="5636" width="18" style="1773" customWidth="1"/>
    <col min="5637" max="5637" width="13.6640625" style="1773" bestFit="1" customWidth="1"/>
    <col min="5638" max="5638" width="9.109375" style="1773"/>
    <col min="5639" max="5639" width="9.5546875" style="1773" customWidth="1"/>
    <col min="5640" max="5888" width="9.109375" style="1773"/>
    <col min="5889" max="5889" width="58.44140625" style="1773" customWidth="1"/>
    <col min="5890" max="5890" width="19" style="1773" customWidth="1"/>
    <col min="5891" max="5891" width="22" style="1773" customWidth="1"/>
    <col min="5892" max="5892" width="18" style="1773" customWidth="1"/>
    <col min="5893" max="5893" width="13.6640625" style="1773" bestFit="1" customWidth="1"/>
    <col min="5894" max="5894" width="9.109375" style="1773"/>
    <col min="5895" max="5895" width="9.5546875" style="1773" customWidth="1"/>
    <col min="5896" max="6144" width="9.109375" style="1773"/>
    <col min="6145" max="6145" width="58.44140625" style="1773" customWidth="1"/>
    <col min="6146" max="6146" width="19" style="1773" customWidth="1"/>
    <col min="6147" max="6147" width="22" style="1773" customWidth="1"/>
    <col min="6148" max="6148" width="18" style="1773" customWidth="1"/>
    <col min="6149" max="6149" width="13.6640625" style="1773" bestFit="1" customWidth="1"/>
    <col min="6150" max="6150" width="9.109375" style="1773"/>
    <col min="6151" max="6151" width="9.5546875" style="1773" customWidth="1"/>
    <col min="6152" max="6400" width="9.109375" style="1773"/>
    <col min="6401" max="6401" width="58.44140625" style="1773" customWidth="1"/>
    <col min="6402" max="6402" width="19" style="1773" customWidth="1"/>
    <col min="6403" max="6403" width="22" style="1773" customWidth="1"/>
    <col min="6404" max="6404" width="18" style="1773" customWidth="1"/>
    <col min="6405" max="6405" width="13.6640625" style="1773" bestFit="1" customWidth="1"/>
    <col min="6406" max="6406" width="9.109375" style="1773"/>
    <col min="6407" max="6407" width="9.5546875" style="1773" customWidth="1"/>
    <col min="6408" max="6656" width="9.109375" style="1773"/>
    <col min="6657" max="6657" width="58.44140625" style="1773" customWidth="1"/>
    <col min="6658" max="6658" width="19" style="1773" customWidth="1"/>
    <col min="6659" max="6659" width="22" style="1773" customWidth="1"/>
    <col min="6660" max="6660" width="18" style="1773" customWidth="1"/>
    <col min="6661" max="6661" width="13.6640625" style="1773" bestFit="1" customWidth="1"/>
    <col min="6662" max="6662" width="9.109375" style="1773"/>
    <col min="6663" max="6663" width="9.5546875" style="1773" customWidth="1"/>
    <col min="6664" max="6912" width="9.109375" style="1773"/>
    <col min="6913" max="6913" width="58.44140625" style="1773" customWidth="1"/>
    <col min="6914" max="6914" width="19" style="1773" customWidth="1"/>
    <col min="6915" max="6915" width="22" style="1773" customWidth="1"/>
    <col min="6916" max="6916" width="18" style="1773" customWidth="1"/>
    <col min="6917" max="6917" width="13.6640625" style="1773" bestFit="1" customWidth="1"/>
    <col min="6918" max="6918" width="9.109375" style="1773"/>
    <col min="6919" max="6919" width="9.5546875" style="1773" customWidth="1"/>
    <col min="6920" max="7168" width="9.109375" style="1773"/>
    <col min="7169" max="7169" width="58.44140625" style="1773" customWidth="1"/>
    <col min="7170" max="7170" width="19" style="1773" customWidth="1"/>
    <col min="7171" max="7171" width="22" style="1773" customWidth="1"/>
    <col min="7172" max="7172" width="18" style="1773" customWidth="1"/>
    <col min="7173" max="7173" width="13.6640625" style="1773" bestFit="1" customWidth="1"/>
    <col min="7174" max="7174" width="9.109375" style="1773"/>
    <col min="7175" max="7175" width="9.5546875" style="1773" customWidth="1"/>
    <col min="7176" max="7424" width="9.109375" style="1773"/>
    <col min="7425" max="7425" width="58.44140625" style="1773" customWidth="1"/>
    <col min="7426" max="7426" width="19" style="1773" customWidth="1"/>
    <col min="7427" max="7427" width="22" style="1773" customWidth="1"/>
    <col min="7428" max="7428" width="18" style="1773" customWidth="1"/>
    <col min="7429" max="7429" width="13.6640625" style="1773" bestFit="1" customWidth="1"/>
    <col min="7430" max="7430" width="9.109375" style="1773"/>
    <col min="7431" max="7431" width="9.5546875" style="1773" customWidth="1"/>
    <col min="7432" max="7680" width="9.109375" style="1773"/>
    <col min="7681" max="7681" width="58.44140625" style="1773" customWidth="1"/>
    <col min="7682" max="7682" width="19" style="1773" customWidth="1"/>
    <col min="7683" max="7683" width="22" style="1773" customWidth="1"/>
    <col min="7684" max="7684" width="18" style="1773" customWidth="1"/>
    <col min="7685" max="7685" width="13.6640625" style="1773" bestFit="1" customWidth="1"/>
    <col min="7686" max="7686" width="9.109375" style="1773"/>
    <col min="7687" max="7687" width="9.5546875" style="1773" customWidth="1"/>
    <col min="7688" max="7936" width="9.109375" style="1773"/>
    <col min="7937" max="7937" width="58.44140625" style="1773" customWidth="1"/>
    <col min="7938" max="7938" width="19" style="1773" customWidth="1"/>
    <col min="7939" max="7939" width="22" style="1773" customWidth="1"/>
    <col min="7940" max="7940" width="18" style="1773" customWidth="1"/>
    <col min="7941" max="7941" width="13.6640625" style="1773" bestFit="1" customWidth="1"/>
    <col min="7942" max="7942" width="9.109375" style="1773"/>
    <col min="7943" max="7943" width="9.5546875" style="1773" customWidth="1"/>
    <col min="7944" max="8192" width="9.109375" style="1773"/>
    <col min="8193" max="8193" width="58.44140625" style="1773" customWidth="1"/>
    <col min="8194" max="8194" width="19" style="1773" customWidth="1"/>
    <col min="8195" max="8195" width="22" style="1773" customWidth="1"/>
    <col min="8196" max="8196" width="18" style="1773" customWidth="1"/>
    <col min="8197" max="8197" width="13.6640625" style="1773" bestFit="1" customWidth="1"/>
    <col min="8198" max="8198" width="9.109375" style="1773"/>
    <col min="8199" max="8199" width="9.5546875" style="1773" customWidth="1"/>
    <col min="8200" max="8448" width="9.109375" style="1773"/>
    <col min="8449" max="8449" width="58.44140625" style="1773" customWidth="1"/>
    <col min="8450" max="8450" width="19" style="1773" customWidth="1"/>
    <col min="8451" max="8451" width="22" style="1773" customWidth="1"/>
    <col min="8452" max="8452" width="18" style="1773" customWidth="1"/>
    <col min="8453" max="8453" width="13.6640625" style="1773" bestFit="1" customWidth="1"/>
    <col min="8454" max="8454" width="9.109375" style="1773"/>
    <col min="8455" max="8455" width="9.5546875" style="1773" customWidth="1"/>
    <col min="8456" max="8704" width="9.109375" style="1773"/>
    <col min="8705" max="8705" width="58.44140625" style="1773" customWidth="1"/>
    <col min="8706" max="8706" width="19" style="1773" customWidth="1"/>
    <col min="8707" max="8707" width="22" style="1773" customWidth="1"/>
    <col min="8708" max="8708" width="18" style="1773" customWidth="1"/>
    <col min="8709" max="8709" width="13.6640625" style="1773" bestFit="1" customWidth="1"/>
    <col min="8710" max="8710" width="9.109375" style="1773"/>
    <col min="8711" max="8711" width="9.5546875" style="1773" customWidth="1"/>
    <col min="8712" max="8960" width="9.109375" style="1773"/>
    <col min="8961" max="8961" width="58.44140625" style="1773" customWidth="1"/>
    <col min="8962" max="8962" width="19" style="1773" customWidth="1"/>
    <col min="8963" max="8963" width="22" style="1773" customWidth="1"/>
    <col min="8964" max="8964" width="18" style="1773" customWidth="1"/>
    <col min="8965" max="8965" width="13.6640625" style="1773" bestFit="1" customWidth="1"/>
    <col min="8966" max="8966" width="9.109375" style="1773"/>
    <col min="8967" max="8967" width="9.5546875" style="1773" customWidth="1"/>
    <col min="8968" max="9216" width="9.109375" style="1773"/>
    <col min="9217" max="9217" width="58.44140625" style="1773" customWidth="1"/>
    <col min="9218" max="9218" width="19" style="1773" customWidth="1"/>
    <col min="9219" max="9219" width="22" style="1773" customWidth="1"/>
    <col min="9220" max="9220" width="18" style="1773" customWidth="1"/>
    <col min="9221" max="9221" width="13.6640625" style="1773" bestFit="1" customWidth="1"/>
    <col min="9222" max="9222" width="9.109375" style="1773"/>
    <col min="9223" max="9223" width="9.5546875" style="1773" customWidth="1"/>
    <col min="9224" max="9472" width="9.109375" style="1773"/>
    <col min="9473" max="9473" width="58.44140625" style="1773" customWidth="1"/>
    <col min="9474" max="9474" width="19" style="1773" customWidth="1"/>
    <col min="9475" max="9475" width="22" style="1773" customWidth="1"/>
    <col min="9476" max="9476" width="18" style="1773" customWidth="1"/>
    <col min="9477" max="9477" width="13.6640625" style="1773" bestFit="1" customWidth="1"/>
    <col min="9478" max="9478" width="9.109375" style="1773"/>
    <col min="9479" max="9479" width="9.5546875" style="1773" customWidth="1"/>
    <col min="9480" max="9728" width="9.109375" style="1773"/>
    <col min="9729" max="9729" width="58.44140625" style="1773" customWidth="1"/>
    <col min="9730" max="9730" width="19" style="1773" customWidth="1"/>
    <col min="9731" max="9731" width="22" style="1773" customWidth="1"/>
    <col min="9732" max="9732" width="18" style="1773" customWidth="1"/>
    <col min="9733" max="9733" width="13.6640625" style="1773" bestFit="1" customWidth="1"/>
    <col min="9734" max="9734" width="9.109375" style="1773"/>
    <col min="9735" max="9735" width="9.5546875" style="1773" customWidth="1"/>
    <col min="9736" max="9984" width="9.109375" style="1773"/>
    <col min="9985" max="9985" width="58.44140625" style="1773" customWidth="1"/>
    <col min="9986" max="9986" width="19" style="1773" customWidth="1"/>
    <col min="9987" max="9987" width="22" style="1773" customWidth="1"/>
    <col min="9988" max="9988" width="18" style="1773" customWidth="1"/>
    <col min="9989" max="9989" width="13.6640625" style="1773" bestFit="1" customWidth="1"/>
    <col min="9990" max="9990" width="9.109375" style="1773"/>
    <col min="9991" max="9991" width="9.5546875" style="1773" customWidth="1"/>
    <col min="9992" max="10240" width="9.109375" style="1773"/>
    <col min="10241" max="10241" width="58.44140625" style="1773" customWidth="1"/>
    <col min="10242" max="10242" width="19" style="1773" customWidth="1"/>
    <col min="10243" max="10243" width="22" style="1773" customWidth="1"/>
    <col min="10244" max="10244" width="18" style="1773" customWidth="1"/>
    <col min="10245" max="10245" width="13.6640625" style="1773" bestFit="1" customWidth="1"/>
    <col min="10246" max="10246" width="9.109375" style="1773"/>
    <col min="10247" max="10247" width="9.5546875" style="1773" customWidth="1"/>
    <col min="10248" max="10496" width="9.109375" style="1773"/>
    <col min="10497" max="10497" width="58.44140625" style="1773" customWidth="1"/>
    <col min="10498" max="10498" width="19" style="1773" customWidth="1"/>
    <col min="10499" max="10499" width="22" style="1773" customWidth="1"/>
    <col min="10500" max="10500" width="18" style="1773" customWidth="1"/>
    <col min="10501" max="10501" width="13.6640625" style="1773" bestFit="1" customWidth="1"/>
    <col min="10502" max="10502" width="9.109375" style="1773"/>
    <col min="10503" max="10503" width="9.5546875" style="1773" customWidth="1"/>
    <col min="10504" max="10752" width="9.109375" style="1773"/>
    <col min="10753" max="10753" width="58.44140625" style="1773" customWidth="1"/>
    <col min="10754" max="10754" width="19" style="1773" customWidth="1"/>
    <col min="10755" max="10755" width="22" style="1773" customWidth="1"/>
    <col min="10756" max="10756" width="18" style="1773" customWidth="1"/>
    <col min="10757" max="10757" width="13.6640625" style="1773" bestFit="1" customWidth="1"/>
    <col min="10758" max="10758" width="9.109375" style="1773"/>
    <col min="10759" max="10759" width="9.5546875" style="1773" customWidth="1"/>
    <col min="10760" max="11008" width="9.109375" style="1773"/>
    <col min="11009" max="11009" width="58.44140625" style="1773" customWidth="1"/>
    <col min="11010" max="11010" width="19" style="1773" customWidth="1"/>
    <col min="11011" max="11011" width="22" style="1773" customWidth="1"/>
    <col min="11012" max="11012" width="18" style="1773" customWidth="1"/>
    <col min="11013" max="11013" width="13.6640625" style="1773" bestFit="1" customWidth="1"/>
    <col min="11014" max="11014" width="9.109375" style="1773"/>
    <col min="11015" max="11015" width="9.5546875" style="1773" customWidth="1"/>
    <col min="11016" max="11264" width="9.109375" style="1773"/>
    <col min="11265" max="11265" width="58.44140625" style="1773" customWidth="1"/>
    <col min="11266" max="11266" width="19" style="1773" customWidth="1"/>
    <col min="11267" max="11267" width="22" style="1773" customWidth="1"/>
    <col min="11268" max="11268" width="18" style="1773" customWidth="1"/>
    <col min="11269" max="11269" width="13.6640625" style="1773" bestFit="1" customWidth="1"/>
    <col min="11270" max="11270" width="9.109375" style="1773"/>
    <col min="11271" max="11271" width="9.5546875" style="1773" customWidth="1"/>
    <col min="11272" max="11520" width="9.109375" style="1773"/>
    <col min="11521" max="11521" width="58.44140625" style="1773" customWidth="1"/>
    <col min="11522" max="11522" width="19" style="1773" customWidth="1"/>
    <col min="11523" max="11523" width="22" style="1773" customWidth="1"/>
    <col min="11524" max="11524" width="18" style="1773" customWidth="1"/>
    <col min="11525" max="11525" width="13.6640625" style="1773" bestFit="1" customWidth="1"/>
    <col min="11526" max="11526" width="9.109375" style="1773"/>
    <col min="11527" max="11527" width="9.5546875" style="1773" customWidth="1"/>
    <col min="11528" max="11776" width="9.109375" style="1773"/>
    <col min="11777" max="11777" width="58.44140625" style="1773" customWidth="1"/>
    <col min="11778" max="11778" width="19" style="1773" customWidth="1"/>
    <col min="11779" max="11779" width="22" style="1773" customWidth="1"/>
    <col min="11780" max="11780" width="18" style="1773" customWidth="1"/>
    <col min="11781" max="11781" width="13.6640625" style="1773" bestFit="1" customWidth="1"/>
    <col min="11782" max="11782" width="9.109375" style="1773"/>
    <col min="11783" max="11783" width="9.5546875" style="1773" customWidth="1"/>
    <col min="11784" max="12032" width="9.109375" style="1773"/>
    <col min="12033" max="12033" width="58.44140625" style="1773" customWidth="1"/>
    <col min="12034" max="12034" width="19" style="1773" customWidth="1"/>
    <col min="12035" max="12035" width="22" style="1773" customWidth="1"/>
    <col min="12036" max="12036" width="18" style="1773" customWidth="1"/>
    <col min="12037" max="12037" width="13.6640625" style="1773" bestFit="1" customWidth="1"/>
    <col min="12038" max="12038" width="9.109375" style="1773"/>
    <col min="12039" max="12039" width="9.5546875" style="1773" customWidth="1"/>
    <col min="12040" max="12288" width="9.109375" style="1773"/>
    <col min="12289" max="12289" width="58.44140625" style="1773" customWidth="1"/>
    <col min="12290" max="12290" width="19" style="1773" customWidth="1"/>
    <col min="12291" max="12291" width="22" style="1773" customWidth="1"/>
    <col min="12292" max="12292" width="18" style="1773" customWidth="1"/>
    <col min="12293" max="12293" width="13.6640625" style="1773" bestFit="1" customWidth="1"/>
    <col min="12294" max="12294" width="9.109375" style="1773"/>
    <col min="12295" max="12295" width="9.5546875" style="1773" customWidth="1"/>
    <col min="12296" max="12544" width="9.109375" style="1773"/>
    <col min="12545" max="12545" width="58.44140625" style="1773" customWidth="1"/>
    <col min="12546" max="12546" width="19" style="1773" customWidth="1"/>
    <col min="12547" max="12547" width="22" style="1773" customWidth="1"/>
    <col min="12548" max="12548" width="18" style="1773" customWidth="1"/>
    <col min="12549" max="12549" width="13.6640625" style="1773" bestFit="1" customWidth="1"/>
    <col min="12550" max="12550" width="9.109375" style="1773"/>
    <col min="12551" max="12551" width="9.5546875" style="1773" customWidth="1"/>
    <col min="12552" max="12800" width="9.109375" style="1773"/>
    <col min="12801" max="12801" width="58.44140625" style="1773" customWidth="1"/>
    <col min="12802" max="12802" width="19" style="1773" customWidth="1"/>
    <col min="12803" max="12803" width="22" style="1773" customWidth="1"/>
    <col min="12804" max="12804" width="18" style="1773" customWidth="1"/>
    <col min="12805" max="12805" width="13.6640625" style="1773" bestFit="1" customWidth="1"/>
    <col min="12806" max="12806" width="9.109375" style="1773"/>
    <col min="12807" max="12807" width="9.5546875" style="1773" customWidth="1"/>
    <col min="12808" max="13056" width="9.109375" style="1773"/>
    <col min="13057" max="13057" width="58.44140625" style="1773" customWidth="1"/>
    <col min="13058" max="13058" width="19" style="1773" customWidth="1"/>
    <col min="13059" max="13059" width="22" style="1773" customWidth="1"/>
    <col min="13060" max="13060" width="18" style="1773" customWidth="1"/>
    <col min="13061" max="13061" width="13.6640625" style="1773" bestFit="1" customWidth="1"/>
    <col min="13062" max="13062" width="9.109375" style="1773"/>
    <col min="13063" max="13063" width="9.5546875" style="1773" customWidth="1"/>
    <col min="13064" max="13312" width="9.109375" style="1773"/>
    <col min="13313" max="13313" width="58.44140625" style="1773" customWidth="1"/>
    <col min="13314" max="13314" width="19" style="1773" customWidth="1"/>
    <col min="13315" max="13315" width="22" style="1773" customWidth="1"/>
    <col min="13316" max="13316" width="18" style="1773" customWidth="1"/>
    <col min="13317" max="13317" width="13.6640625" style="1773" bestFit="1" customWidth="1"/>
    <col min="13318" max="13318" width="9.109375" style="1773"/>
    <col min="13319" max="13319" width="9.5546875" style="1773" customWidth="1"/>
    <col min="13320" max="13568" width="9.109375" style="1773"/>
    <col min="13569" max="13569" width="58.44140625" style="1773" customWidth="1"/>
    <col min="13570" max="13570" width="19" style="1773" customWidth="1"/>
    <col min="13571" max="13571" width="22" style="1773" customWidth="1"/>
    <col min="13572" max="13572" width="18" style="1773" customWidth="1"/>
    <col min="13573" max="13573" width="13.6640625" style="1773" bestFit="1" customWidth="1"/>
    <col min="13574" max="13574" width="9.109375" style="1773"/>
    <col min="13575" max="13575" width="9.5546875" style="1773" customWidth="1"/>
    <col min="13576" max="13824" width="9.109375" style="1773"/>
    <col min="13825" max="13825" width="58.44140625" style="1773" customWidth="1"/>
    <col min="13826" max="13826" width="19" style="1773" customWidth="1"/>
    <col min="13827" max="13827" width="22" style="1773" customWidth="1"/>
    <col min="13828" max="13828" width="18" style="1773" customWidth="1"/>
    <col min="13829" max="13829" width="13.6640625" style="1773" bestFit="1" customWidth="1"/>
    <col min="13830" max="13830" width="9.109375" style="1773"/>
    <col min="13831" max="13831" width="9.5546875" style="1773" customWidth="1"/>
    <col min="13832" max="14080" width="9.109375" style="1773"/>
    <col min="14081" max="14081" width="58.44140625" style="1773" customWidth="1"/>
    <col min="14082" max="14082" width="19" style="1773" customWidth="1"/>
    <col min="14083" max="14083" width="22" style="1773" customWidth="1"/>
    <col min="14084" max="14084" width="18" style="1773" customWidth="1"/>
    <col min="14085" max="14085" width="13.6640625" style="1773" bestFit="1" customWidth="1"/>
    <col min="14086" max="14086" width="9.109375" style="1773"/>
    <col min="14087" max="14087" width="9.5546875" style="1773" customWidth="1"/>
    <col min="14088" max="14336" width="9.109375" style="1773"/>
    <col min="14337" max="14337" width="58.44140625" style="1773" customWidth="1"/>
    <col min="14338" max="14338" width="19" style="1773" customWidth="1"/>
    <col min="14339" max="14339" width="22" style="1773" customWidth="1"/>
    <col min="14340" max="14340" width="18" style="1773" customWidth="1"/>
    <col min="14341" max="14341" width="13.6640625" style="1773" bestFit="1" customWidth="1"/>
    <col min="14342" max="14342" width="9.109375" style="1773"/>
    <col min="14343" max="14343" width="9.5546875" style="1773" customWidth="1"/>
    <col min="14344" max="14592" width="9.109375" style="1773"/>
    <col min="14593" max="14593" width="58.44140625" style="1773" customWidth="1"/>
    <col min="14594" max="14594" width="19" style="1773" customWidth="1"/>
    <col min="14595" max="14595" width="22" style="1773" customWidth="1"/>
    <col min="14596" max="14596" width="18" style="1773" customWidth="1"/>
    <col min="14597" max="14597" width="13.6640625" style="1773" bestFit="1" customWidth="1"/>
    <col min="14598" max="14598" width="9.109375" style="1773"/>
    <col min="14599" max="14599" width="9.5546875" style="1773" customWidth="1"/>
    <col min="14600" max="14848" width="9.109375" style="1773"/>
    <col min="14849" max="14849" width="58.44140625" style="1773" customWidth="1"/>
    <col min="14850" max="14850" width="19" style="1773" customWidth="1"/>
    <col min="14851" max="14851" width="22" style="1773" customWidth="1"/>
    <col min="14852" max="14852" width="18" style="1773" customWidth="1"/>
    <col min="14853" max="14853" width="13.6640625" style="1773" bestFit="1" customWidth="1"/>
    <col min="14854" max="14854" width="9.109375" style="1773"/>
    <col min="14855" max="14855" width="9.5546875" style="1773" customWidth="1"/>
    <col min="14856" max="15104" width="9.109375" style="1773"/>
    <col min="15105" max="15105" width="58.44140625" style="1773" customWidth="1"/>
    <col min="15106" max="15106" width="19" style="1773" customWidth="1"/>
    <col min="15107" max="15107" width="22" style="1773" customWidth="1"/>
    <col min="15108" max="15108" width="18" style="1773" customWidth="1"/>
    <col min="15109" max="15109" width="13.6640625" style="1773" bestFit="1" customWidth="1"/>
    <col min="15110" max="15110" width="9.109375" style="1773"/>
    <col min="15111" max="15111" width="9.5546875" style="1773" customWidth="1"/>
    <col min="15112" max="15360" width="9.109375" style="1773"/>
    <col min="15361" max="15361" width="58.44140625" style="1773" customWidth="1"/>
    <col min="15362" max="15362" width="19" style="1773" customWidth="1"/>
    <col min="15363" max="15363" width="22" style="1773" customWidth="1"/>
    <col min="15364" max="15364" width="18" style="1773" customWidth="1"/>
    <col min="15365" max="15365" width="13.6640625" style="1773" bestFit="1" customWidth="1"/>
    <col min="15366" max="15366" width="9.109375" style="1773"/>
    <col min="15367" max="15367" width="9.5546875" style="1773" customWidth="1"/>
    <col min="15368" max="15616" width="9.109375" style="1773"/>
    <col min="15617" max="15617" width="58.44140625" style="1773" customWidth="1"/>
    <col min="15618" max="15618" width="19" style="1773" customWidth="1"/>
    <col min="15619" max="15619" width="22" style="1773" customWidth="1"/>
    <col min="15620" max="15620" width="18" style="1773" customWidth="1"/>
    <col min="15621" max="15621" width="13.6640625" style="1773" bestFit="1" customWidth="1"/>
    <col min="15622" max="15622" width="9.109375" style="1773"/>
    <col min="15623" max="15623" width="9.5546875" style="1773" customWidth="1"/>
    <col min="15624" max="15872" width="9.109375" style="1773"/>
    <col min="15873" max="15873" width="58.44140625" style="1773" customWidth="1"/>
    <col min="15874" max="15874" width="19" style="1773" customWidth="1"/>
    <col min="15875" max="15875" width="22" style="1773" customWidth="1"/>
    <col min="15876" max="15876" width="18" style="1773" customWidth="1"/>
    <col min="15877" max="15877" width="13.6640625" style="1773" bestFit="1" customWidth="1"/>
    <col min="15878" max="15878" width="9.109375" style="1773"/>
    <col min="15879" max="15879" width="9.5546875" style="1773" customWidth="1"/>
    <col min="15880" max="16128" width="9.109375" style="1773"/>
    <col min="16129" max="16129" width="58.44140625" style="1773" customWidth="1"/>
    <col min="16130" max="16130" width="19" style="1773" customWidth="1"/>
    <col min="16131" max="16131" width="22" style="1773" customWidth="1"/>
    <col min="16132" max="16132" width="18" style="1773" customWidth="1"/>
    <col min="16133" max="16133" width="13.6640625" style="1773" bestFit="1" customWidth="1"/>
    <col min="16134" max="16134" width="9.109375" style="1773"/>
    <col min="16135" max="16135" width="9.5546875" style="1773" customWidth="1"/>
    <col min="16136" max="16384" width="9.109375" style="1773"/>
  </cols>
  <sheetData>
    <row r="1" spans="1:4" ht="53.4" customHeight="1" x14ac:dyDescent="0.3">
      <c r="B1" s="1772"/>
      <c r="C1" s="2063" t="s">
        <v>2094</v>
      </c>
      <c r="D1" s="2064"/>
    </row>
    <row r="3" spans="1:4" ht="39.6" customHeight="1" x14ac:dyDescent="0.3">
      <c r="A3" s="2065" t="s">
        <v>2095</v>
      </c>
      <c r="B3" s="2065"/>
      <c r="C3" s="2065"/>
      <c r="D3" s="2065"/>
    </row>
    <row r="4" spans="1:4" ht="15.75" customHeight="1" x14ac:dyDescent="0.3">
      <c r="D4" s="1775" t="s">
        <v>692</v>
      </c>
    </row>
    <row r="5" spans="1:4" s="1776" customFormat="1" ht="18.600000000000001" customHeight="1" x14ac:dyDescent="0.25">
      <c r="A5" s="2066" t="s">
        <v>2096</v>
      </c>
      <c r="B5" s="2067" t="s">
        <v>2097</v>
      </c>
      <c r="C5" s="2069" t="s">
        <v>2098</v>
      </c>
      <c r="D5" s="2071" t="s">
        <v>2099</v>
      </c>
    </row>
    <row r="6" spans="1:4" s="1776" customFormat="1" ht="26.4" customHeight="1" x14ac:dyDescent="0.25">
      <c r="A6" s="2066"/>
      <c r="B6" s="2068"/>
      <c r="C6" s="2070"/>
      <c r="D6" s="2071"/>
    </row>
    <row r="7" spans="1:4" s="1777" customFormat="1" x14ac:dyDescent="0.3">
      <c r="A7" s="2061" t="s">
        <v>2100</v>
      </c>
      <c r="B7" s="2061"/>
      <c r="C7" s="2061"/>
      <c r="D7" s="2061"/>
    </row>
    <row r="8" spans="1:4" s="1780" customFormat="1" ht="16.2" x14ac:dyDescent="0.35">
      <c r="A8" s="1778" t="s">
        <v>2101</v>
      </c>
      <c r="B8" s="1779">
        <f>B9+B10+B11+B12+B13</f>
        <v>3510168433.9600005</v>
      </c>
      <c r="C8" s="1779">
        <f>C9+C10+C11+C12+C13</f>
        <v>3663713700</v>
      </c>
      <c r="D8" s="1779">
        <f>D9+D10+D11+D12+D13</f>
        <v>3936825800</v>
      </c>
    </row>
    <row r="9" spans="1:4" s="1784" customFormat="1" x14ac:dyDescent="0.3">
      <c r="A9" s="1781" t="s">
        <v>14</v>
      </c>
      <c r="B9" s="1782">
        <v>2241457636.5400004</v>
      </c>
      <c r="C9" s="1783">
        <v>2100791900</v>
      </c>
      <c r="D9" s="1783">
        <v>2271582100</v>
      </c>
    </row>
    <row r="10" spans="1:4" s="1784" customFormat="1" ht="31.2" x14ac:dyDescent="0.3">
      <c r="A10" s="1785" t="s">
        <v>702</v>
      </c>
      <c r="B10" s="1782">
        <v>13327686.5</v>
      </c>
      <c r="C10" s="1783">
        <v>16200000</v>
      </c>
      <c r="D10" s="1783">
        <v>2900000</v>
      </c>
    </row>
    <row r="11" spans="1:4" s="1784" customFormat="1" ht="29.4" customHeight="1" x14ac:dyDescent="0.3">
      <c r="A11" s="1786" t="s">
        <v>2102</v>
      </c>
      <c r="B11" s="1782">
        <v>219087.29</v>
      </c>
      <c r="C11" s="1783">
        <v>245200</v>
      </c>
      <c r="D11" s="1783">
        <v>63700</v>
      </c>
    </row>
    <row r="12" spans="1:4" s="1787" customFormat="1" x14ac:dyDescent="0.3">
      <c r="A12" s="1785" t="s">
        <v>710</v>
      </c>
      <c r="B12" s="1782">
        <v>364970587.15000004</v>
      </c>
      <c r="C12" s="1783">
        <v>482100600</v>
      </c>
      <c r="D12" s="1783">
        <v>473650000</v>
      </c>
    </row>
    <row r="13" spans="1:4" s="1784" customFormat="1" ht="31.2" x14ac:dyDescent="0.3">
      <c r="A13" s="1788" t="s">
        <v>713</v>
      </c>
      <c r="B13" s="1783">
        <f>B14+B18+B19+14307.1</f>
        <v>890193436.48000002</v>
      </c>
      <c r="C13" s="1783">
        <f>C14+C18+C19</f>
        <v>1064376000</v>
      </c>
      <c r="D13" s="1783">
        <f>D14+D18+D19</f>
        <v>1188630000</v>
      </c>
    </row>
    <row r="14" spans="1:4" s="1784" customFormat="1" x14ac:dyDescent="0.3">
      <c r="A14" s="1789" t="s">
        <v>73</v>
      </c>
      <c r="B14" s="1783">
        <f>B15+B16+B17</f>
        <v>320995845.25</v>
      </c>
      <c r="C14" s="1783">
        <f>C15+C16+C17</f>
        <v>363874000</v>
      </c>
      <c r="D14" s="1783">
        <f>D15+D16+D17</f>
        <v>381857000</v>
      </c>
    </row>
    <row r="15" spans="1:4" s="1784" customFormat="1" ht="31.2" x14ac:dyDescent="0.3">
      <c r="A15" s="1790" t="s">
        <v>2103</v>
      </c>
      <c r="B15" s="1791">
        <v>91953690.960000008</v>
      </c>
      <c r="C15" s="1791">
        <v>96500000</v>
      </c>
      <c r="D15" s="1791">
        <v>109907000</v>
      </c>
    </row>
    <row r="16" spans="1:4" s="1784" customFormat="1" x14ac:dyDescent="0.3">
      <c r="A16" s="1790" t="s">
        <v>2104</v>
      </c>
      <c r="B16" s="1792">
        <v>1495736.84</v>
      </c>
      <c r="C16" s="1791">
        <v>1400000</v>
      </c>
      <c r="D16" s="1791">
        <v>1850000</v>
      </c>
    </row>
    <row r="17" spans="1:5" s="1784" customFormat="1" x14ac:dyDescent="0.3">
      <c r="A17" s="1790" t="s">
        <v>2105</v>
      </c>
      <c r="B17" s="1792">
        <v>227546417.45000002</v>
      </c>
      <c r="C17" s="1791">
        <v>265974000</v>
      </c>
      <c r="D17" s="1791">
        <v>270100000</v>
      </c>
    </row>
    <row r="18" spans="1:5" s="1784" customFormat="1" x14ac:dyDescent="0.3">
      <c r="A18" s="1793" t="s">
        <v>2106</v>
      </c>
      <c r="B18" s="1782">
        <v>107287.4</v>
      </c>
      <c r="C18" s="1783">
        <v>3000000</v>
      </c>
      <c r="D18" s="1783">
        <v>1700000</v>
      </c>
    </row>
    <row r="19" spans="1:5" s="1784" customFormat="1" x14ac:dyDescent="0.3">
      <c r="A19" s="1789" t="s">
        <v>2107</v>
      </c>
      <c r="B19" s="1782">
        <v>569075996.73000002</v>
      </c>
      <c r="C19" s="1783">
        <v>697502000</v>
      </c>
      <c r="D19" s="1783">
        <v>805073000</v>
      </c>
    </row>
    <row r="20" spans="1:5" s="1794" customFormat="1" ht="16.2" x14ac:dyDescent="0.35">
      <c r="A20" s="1778" t="s">
        <v>103</v>
      </c>
      <c r="B20" s="1779">
        <f>B21+B22+B23+B24+B25+B26</f>
        <v>73431655.330002099</v>
      </c>
      <c r="C20" s="1779">
        <f>C21+C22+C23+C24+C25+C26</f>
        <v>72956938.530000001</v>
      </c>
      <c r="D20" s="1779">
        <f>D21+D22+D23+D24+D25+D26</f>
        <v>76892900</v>
      </c>
    </row>
    <row r="21" spans="1:5" s="1797" customFormat="1" ht="93.6" x14ac:dyDescent="0.3">
      <c r="A21" s="1795" t="s">
        <v>746</v>
      </c>
      <c r="B21" s="1796">
        <v>1334298.1800000002</v>
      </c>
      <c r="C21" s="1796">
        <v>1334298.1800000002</v>
      </c>
      <c r="D21" s="1796">
        <v>1800000</v>
      </c>
    </row>
    <row r="22" spans="1:5" s="1797" customFormat="1" ht="31.2" x14ac:dyDescent="0.3">
      <c r="A22" s="1798" t="s">
        <v>748</v>
      </c>
      <c r="B22" s="1783">
        <v>2618840.35</v>
      </c>
      <c r="C22" s="1783">
        <v>2618840.35</v>
      </c>
      <c r="D22" s="1783">
        <v>0</v>
      </c>
    </row>
    <row r="23" spans="1:5" s="1797" customFormat="1" x14ac:dyDescent="0.3">
      <c r="A23" s="1786" t="s">
        <v>752</v>
      </c>
      <c r="B23" s="1783">
        <v>23894590.089999996</v>
      </c>
      <c r="C23" s="1783">
        <v>30000000</v>
      </c>
      <c r="D23" s="1783">
        <v>37456000</v>
      </c>
    </row>
    <row r="24" spans="1:5" s="1797" customFormat="1" ht="46.8" x14ac:dyDescent="0.3">
      <c r="A24" s="1799" t="s">
        <v>140</v>
      </c>
      <c r="B24" s="1783">
        <v>10827178.59</v>
      </c>
      <c r="C24" s="1783">
        <v>9240000</v>
      </c>
      <c r="D24" s="1783">
        <v>10500000</v>
      </c>
    </row>
    <row r="25" spans="1:5" s="1784" customFormat="1" x14ac:dyDescent="0.3">
      <c r="A25" s="1800" t="s">
        <v>141</v>
      </c>
      <c r="B25" s="1783">
        <v>908591.07</v>
      </c>
      <c r="C25" s="1783">
        <v>1038000</v>
      </c>
      <c r="D25" s="1783">
        <v>990000</v>
      </c>
    </row>
    <row r="26" spans="1:5" s="1784" customFormat="1" x14ac:dyDescent="0.3">
      <c r="A26" s="1785" t="s">
        <v>2108</v>
      </c>
      <c r="B26" s="1782">
        <v>33848157.050002098</v>
      </c>
      <c r="C26" s="1783">
        <v>28725800</v>
      </c>
      <c r="D26" s="1783">
        <v>26146900</v>
      </c>
    </row>
    <row r="27" spans="1:5" s="1804" customFormat="1" ht="16.2" x14ac:dyDescent="0.35">
      <c r="A27" s="1801" t="s">
        <v>2109</v>
      </c>
      <c r="B27" s="1802">
        <v>148466.70000000001</v>
      </c>
      <c r="C27" s="1803">
        <v>16000</v>
      </c>
      <c r="D27" s="1803">
        <v>2000</v>
      </c>
    </row>
    <row r="28" spans="1:5" s="1806" customFormat="1" x14ac:dyDescent="0.3">
      <c r="A28" s="1006" t="s">
        <v>783</v>
      </c>
      <c r="B28" s="1805">
        <f>B8+B20+B27</f>
        <v>3583748555.9900026</v>
      </c>
      <c r="C28" s="1805">
        <f>C8+C20+C27</f>
        <v>3736686638.5300002</v>
      </c>
      <c r="D28" s="1805">
        <f>D8+D20+D27</f>
        <v>4013720700</v>
      </c>
    </row>
    <row r="29" spans="1:5" s="1787" customFormat="1" x14ac:dyDescent="0.3">
      <c r="A29" s="1807" t="s">
        <v>195</v>
      </c>
      <c r="B29" s="1808">
        <v>703220284.45000029</v>
      </c>
      <c r="C29" s="1808">
        <v>707577348</v>
      </c>
      <c r="D29" s="1809">
        <v>0</v>
      </c>
      <c r="E29" s="1810"/>
    </row>
    <row r="30" spans="1:5" s="1787" customFormat="1" x14ac:dyDescent="0.3">
      <c r="A30" s="1811" t="s">
        <v>1481</v>
      </c>
      <c r="B30" s="1805">
        <f>B28+B29</f>
        <v>4286968840.4400029</v>
      </c>
      <c r="C30" s="1805">
        <f>C28+C29</f>
        <v>4444263986.5300007</v>
      </c>
      <c r="D30" s="1805">
        <f>D28+D29</f>
        <v>4013720700</v>
      </c>
    </row>
    <row r="31" spans="1:5" s="1812" customFormat="1" x14ac:dyDescent="0.25">
      <c r="A31" s="2062" t="s">
        <v>2110</v>
      </c>
      <c r="B31" s="2062"/>
      <c r="C31" s="2062"/>
      <c r="D31" s="2062"/>
    </row>
    <row r="32" spans="1:5" s="1777" customFormat="1" x14ac:dyDescent="0.3">
      <c r="A32" s="1813" t="s">
        <v>260</v>
      </c>
      <c r="B32" s="1814">
        <v>377680479.38</v>
      </c>
      <c r="C32" s="1783">
        <v>389188317.44999999</v>
      </c>
      <c r="D32" s="1782">
        <f>398560597+19955233</f>
        <v>418515830</v>
      </c>
    </row>
    <row r="33" spans="1:4" x14ac:dyDescent="0.3">
      <c r="A33" s="1813" t="s">
        <v>278</v>
      </c>
      <c r="B33" s="1814">
        <v>1603487057.54</v>
      </c>
      <c r="C33" s="1815">
        <v>1987810093.73</v>
      </c>
      <c r="D33" s="1782">
        <f>1242867440+87200000+5700000+11000000+3815000</f>
        <v>1350582440</v>
      </c>
    </row>
    <row r="34" spans="1:4" x14ac:dyDescent="0.3">
      <c r="A34" s="1813" t="s">
        <v>1484</v>
      </c>
      <c r="B34" s="1814">
        <v>193067566</v>
      </c>
      <c r="C34" s="1815">
        <v>176461706</v>
      </c>
      <c r="D34" s="1782">
        <f>186906541+23677493</f>
        <v>210584034</v>
      </c>
    </row>
    <row r="35" spans="1:4" x14ac:dyDescent="0.3">
      <c r="A35" s="1813" t="s">
        <v>2111</v>
      </c>
      <c r="B35" s="1814">
        <v>195698054.97</v>
      </c>
      <c r="C35" s="1815">
        <v>252306532.80199999</v>
      </c>
      <c r="D35" s="1782">
        <f>2972900+426300+275325408-130300+6539713-800000+473800+1605841+900000+2103598+13259640-900000-59706000</f>
        <v>242070900</v>
      </c>
    </row>
    <row r="36" spans="1:4" x14ac:dyDescent="0.3">
      <c r="A36" s="1813" t="s">
        <v>375</v>
      </c>
      <c r="B36" s="1816">
        <v>47820679.130000003</v>
      </c>
      <c r="C36" s="1809">
        <v>204187475</v>
      </c>
      <c r="D36" s="1809">
        <f>92914765+104009+115332647+3100000</f>
        <v>211451421</v>
      </c>
    </row>
    <row r="37" spans="1:4" x14ac:dyDescent="0.3">
      <c r="A37" s="1813" t="s">
        <v>359</v>
      </c>
      <c r="B37" s="1817">
        <v>105143735.64</v>
      </c>
      <c r="C37" s="1818">
        <v>55111320</v>
      </c>
      <c r="D37" s="1782">
        <f>55804551+500000+1500000</f>
        <v>57804551</v>
      </c>
    </row>
    <row r="38" spans="1:4" x14ac:dyDescent="0.3">
      <c r="A38" s="1813" t="s">
        <v>373</v>
      </c>
      <c r="B38" s="1814">
        <v>225532518.13999999</v>
      </c>
      <c r="C38" s="1815">
        <v>115438432</v>
      </c>
      <c r="D38" s="1782">
        <f>117989156+3200000+1221250</f>
        <v>122410406</v>
      </c>
    </row>
    <row r="39" spans="1:4" hidden="1" x14ac:dyDescent="0.25">
      <c r="A39" s="1819" t="s">
        <v>2112</v>
      </c>
      <c r="B39" s="1814"/>
      <c r="C39" s="1820"/>
      <c r="D39" s="1814"/>
    </row>
    <row r="40" spans="1:4" x14ac:dyDescent="0.3">
      <c r="A40" s="1813" t="s">
        <v>1258</v>
      </c>
      <c r="B40" s="1814">
        <v>445240295.86000001</v>
      </c>
      <c r="C40" s="1783">
        <v>347829778.11000001</v>
      </c>
      <c r="D40" s="1782">
        <f>341793283+27007</f>
        <v>341820290</v>
      </c>
    </row>
    <row r="41" spans="1:4" x14ac:dyDescent="0.3">
      <c r="A41" s="1813" t="s">
        <v>465</v>
      </c>
      <c r="B41" s="1814">
        <f>66712879.47-49995029.22</f>
        <v>16717850.25</v>
      </c>
      <c r="C41" s="1783">
        <f>47891166-24945540</f>
        <v>22945626</v>
      </c>
      <c r="D41" s="1782">
        <f>21256048+3000000-144348+3562346</f>
        <v>27674046</v>
      </c>
    </row>
    <row r="42" spans="1:4" x14ac:dyDescent="0.3">
      <c r="A42" s="1813" t="s">
        <v>541</v>
      </c>
      <c r="B42" s="1814">
        <v>49995029.219999999</v>
      </c>
      <c r="C42" s="1783">
        <v>24945540</v>
      </c>
      <c r="D42" s="1782">
        <f>100000000+50000000</f>
        <v>150000000</v>
      </c>
    </row>
    <row r="43" spans="1:4" x14ac:dyDescent="0.25">
      <c r="A43" s="1819" t="s">
        <v>2113</v>
      </c>
      <c r="B43" s="1814">
        <v>30443601</v>
      </c>
      <c r="C43" s="1815">
        <v>22733491</v>
      </c>
      <c r="D43" s="1814">
        <v>16796142</v>
      </c>
    </row>
    <row r="44" spans="1:4" x14ac:dyDescent="0.3">
      <c r="A44" s="1813" t="s">
        <v>2114</v>
      </c>
      <c r="B44" s="1814">
        <f>554098396-493761200</f>
        <v>60337196</v>
      </c>
      <c r="C44" s="1783">
        <v>64523262.090000004</v>
      </c>
      <c r="D44" s="1782">
        <v>300000000</v>
      </c>
    </row>
    <row r="45" spans="1:4" x14ac:dyDescent="0.25">
      <c r="A45" s="1821" t="s">
        <v>2115</v>
      </c>
      <c r="B45" s="1822">
        <f>B32+B33+B34+B35+B36+B37+B38+B43+B40+B41+B44+B42</f>
        <v>3351164063.1299996</v>
      </c>
      <c r="C45" s="1822">
        <f>C32+C33+C34+C35+C36+C37+C38+C43+C40+C41+C44+C42</f>
        <v>3663481574.1820002</v>
      </c>
      <c r="D45" s="1822">
        <f>D32+D33+D34+D35+D36+D37+D38+D43+D40+D41+D44+D42</f>
        <v>3449710060</v>
      </c>
    </row>
    <row r="46" spans="1:4" ht="31.2" x14ac:dyDescent="0.25">
      <c r="A46" s="1823" t="s">
        <v>663</v>
      </c>
      <c r="B46" s="1824">
        <v>0</v>
      </c>
      <c r="C46" s="1824">
        <v>-29464000</v>
      </c>
      <c r="D46" s="1824">
        <v>0</v>
      </c>
    </row>
    <row r="47" spans="1:4" s="1777" customFormat="1" ht="33" customHeight="1" x14ac:dyDescent="0.25">
      <c r="A47" s="1819" t="s">
        <v>664</v>
      </c>
      <c r="B47" s="1814">
        <v>1681852629.5799999</v>
      </c>
      <c r="C47" s="1815">
        <v>856214709.19000006</v>
      </c>
      <c r="D47" s="1814">
        <f>151310413+20615000-155404439+163107500+143523300-17327700+6199100-11900000-15363238+900000+4669750-3562346</f>
        <v>286767340</v>
      </c>
    </row>
    <row r="48" spans="1:4" x14ac:dyDescent="0.3">
      <c r="A48" s="1813" t="s">
        <v>556</v>
      </c>
      <c r="B48" s="1814">
        <v>493761200</v>
      </c>
      <c r="C48" s="1783">
        <v>0</v>
      </c>
      <c r="D48" s="1782">
        <v>277243300</v>
      </c>
    </row>
    <row r="49" spans="1:4" x14ac:dyDescent="0.25">
      <c r="A49" s="1821" t="s">
        <v>2116</v>
      </c>
      <c r="B49" s="1822">
        <f>B45+B47+B48</f>
        <v>5526777892.7099991</v>
      </c>
      <c r="C49" s="1825">
        <f>C45+C47+C48+C46</f>
        <v>4490232283.3719997</v>
      </c>
      <c r="D49" s="1822">
        <f>D48+D47+D45</f>
        <v>4013720700</v>
      </c>
    </row>
    <row r="50" spans="1:4" s="1777" customFormat="1" hidden="1" x14ac:dyDescent="0.25">
      <c r="A50" s="1826"/>
      <c r="B50" s="1827"/>
      <c r="C50" s="1827"/>
      <c r="D50" s="1827"/>
    </row>
    <row r="51" spans="1:4" s="1777" customFormat="1" ht="36.6" customHeight="1" x14ac:dyDescent="0.3">
      <c r="A51" s="1828" t="s">
        <v>681</v>
      </c>
      <c r="B51" s="1829"/>
      <c r="C51" s="1829"/>
      <c r="D51" s="1830" t="s">
        <v>682</v>
      </c>
    </row>
    <row r="52" spans="1:4" x14ac:dyDescent="0.3">
      <c r="B52" s="1831"/>
      <c r="C52" s="1831"/>
      <c r="D52" s="1832">
        <f>D30-D49</f>
        <v>0</v>
      </c>
    </row>
    <row r="53" spans="1:4" x14ac:dyDescent="0.3">
      <c r="D53" s="1831"/>
    </row>
    <row r="54" spans="1:4" x14ac:dyDescent="0.3">
      <c r="D54" s="1831"/>
    </row>
  </sheetData>
  <mergeCells count="8">
    <mergeCell ref="A7:D7"/>
    <mergeCell ref="A31:D31"/>
    <mergeCell ref="C1:D1"/>
    <mergeCell ref="A3:D3"/>
    <mergeCell ref="A5:A6"/>
    <mergeCell ref="B5:B6"/>
    <mergeCell ref="C5:C6"/>
    <mergeCell ref="D5:D6"/>
  </mergeCells>
  <pageMargins left="0.59055118110236227" right="0" top="0.19685039370078741" bottom="0.15748031496062992" header="0.19685039370078741" footer="0.15748031496062992"/>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abSelected="1" topLeftCell="A4" zoomScale="70" zoomScaleNormal="70" zoomScaleSheetLayoutView="70" workbookViewId="0">
      <selection activeCell="H46" sqref="H46"/>
    </sheetView>
  </sheetViews>
  <sheetFormatPr defaultColWidth="9.44140625" defaultRowHeight="13.2" x14ac:dyDescent="0.25"/>
  <cols>
    <col min="1" max="1" width="46.6640625" style="2158" customWidth="1"/>
    <col min="2" max="2" width="19.88671875" style="2079" customWidth="1"/>
    <col min="3" max="3" width="19.5546875" style="2079" customWidth="1"/>
    <col min="4" max="4" width="19.6640625" style="2079" customWidth="1"/>
    <col min="5" max="5" width="19.44140625" style="2081" customWidth="1"/>
    <col min="6" max="6" width="17.109375" style="2081" customWidth="1"/>
    <col min="7" max="7" width="22.44140625" style="2079" customWidth="1"/>
    <col min="8" max="8" width="19.109375" style="2079" customWidth="1"/>
    <col min="9" max="9" width="18.6640625" style="2159" customWidth="1"/>
    <col min="10" max="10" width="16.6640625" style="2079" customWidth="1"/>
    <col min="11" max="11" width="10.88671875" style="2079" bestFit="1" customWidth="1"/>
    <col min="12" max="12" width="10.33203125" style="2079" customWidth="1"/>
    <col min="13" max="256" width="9.44140625" style="2079"/>
    <col min="257" max="257" width="46.6640625" style="2079" customWidth="1"/>
    <col min="258" max="258" width="19.88671875" style="2079" customWidth="1"/>
    <col min="259" max="259" width="19.5546875" style="2079" customWidth="1"/>
    <col min="260" max="260" width="19.6640625" style="2079" customWidth="1"/>
    <col min="261" max="261" width="19.44140625" style="2079" customWidth="1"/>
    <col min="262" max="262" width="17.109375" style="2079" customWidth="1"/>
    <col min="263" max="263" width="22.44140625" style="2079" customWidth="1"/>
    <col min="264" max="264" width="19.109375" style="2079" customWidth="1"/>
    <col min="265" max="265" width="18.6640625" style="2079" customWidth="1"/>
    <col min="266" max="266" width="16.6640625" style="2079" customWidth="1"/>
    <col min="267" max="267" width="10.88671875" style="2079" bestFit="1" customWidth="1"/>
    <col min="268" max="268" width="10.33203125" style="2079" customWidth="1"/>
    <col min="269" max="512" width="9.44140625" style="2079"/>
    <col min="513" max="513" width="46.6640625" style="2079" customWidth="1"/>
    <col min="514" max="514" width="19.88671875" style="2079" customWidth="1"/>
    <col min="515" max="515" width="19.5546875" style="2079" customWidth="1"/>
    <col min="516" max="516" width="19.6640625" style="2079" customWidth="1"/>
    <col min="517" max="517" width="19.44140625" style="2079" customWidth="1"/>
    <col min="518" max="518" width="17.109375" style="2079" customWidth="1"/>
    <col min="519" max="519" width="22.44140625" style="2079" customWidth="1"/>
    <col min="520" max="520" width="19.109375" style="2079" customWidth="1"/>
    <col min="521" max="521" width="18.6640625" style="2079" customWidth="1"/>
    <col min="522" max="522" width="16.6640625" style="2079" customWidth="1"/>
    <col min="523" max="523" width="10.88671875" style="2079" bestFit="1" customWidth="1"/>
    <col min="524" max="524" width="10.33203125" style="2079" customWidth="1"/>
    <col min="525" max="768" width="9.44140625" style="2079"/>
    <col min="769" max="769" width="46.6640625" style="2079" customWidth="1"/>
    <col min="770" max="770" width="19.88671875" style="2079" customWidth="1"/>
    <col min="771" max="771" width="19.5546875" style="2079" customWidth="1"/>
    <col min="772" max="772" width="19.6640625" style="2079" customWidth="1"/>
    <col min="773" max="773" width="19.44140625" style="2079" customWidth="1"/>
    <col min="774" max="774" width="17.109375" style="2079" customWidth="1"/>
    <col min="775" max="775" width="22.44140625" style="2079" customWidth="1"/>
    <col min="776" max="776" width="19.109375" style="2079" customWidth="1"/>
    <col min="777" max="777" width="18.6640625" style="2079" customWidth="1"/>
    <col min="778" max="778" width="16.6640625" style="2079" customWidth="1"/>
    <col min="779" max="779" width="10.88671875" style="2079" bestFit="1" customWidth="1"/>
    <col min="780" max="780" width="10.33203125" style="2079" customWidth="1"/>
    <col min="781" max="1024" width="9.44140625" style="2079"/>
    <col min="1025" max="1025" width="46.6640625" style="2079" customWidth="1"/>
    <col min="1026" max="1026" width="19.88671875" style="2079" customWidth="1"/>
    <col min="1027" max="1027" width="19.5546875" style="2079" customWidth="1"/>
    <col min="1028" max="1028" width="19.6640625" style="2079" customWidth="1"/>
    <col min="1029" max="1029" width="19.44140625" style="2079" customWidth="1"/>
    <col min="1030" max="1030" width="17.109375" style="2079" customWidth="1"/>
    <col min="1031" max="1031" width="22.44140625" style="2079" customWidth="1"/>
    <col min="1032" max="1032" width="19.109375" style="2079" customWidth="1"/>
    <col min="1033" max="1033" width="18.6640625" style="2079" customWidth="1"/>
    <col min="1034" max="1034" width="16.6640625" style="2079" customWidth="1"/>
    <col min="1035" max="1035" width="10.88671875" style="2079" bestFit="1" customWidth="1"/>
    <col min="1036" max="1036" width="10.33203125" style="2079" customWidth="1"/>
    <col min="1037" max="1280" width="9.44140625" style="2079"/>
    <col min="1281" max="1281" width="46.6640625" style="2079" customWidth="1"/>
    <col min="1282" max="1282" width="19.88671875" style="2079" customWidth="1"/>
    <col min="1283" max="1283" width="19.5546875" style="2079" customWidth="1"/>
    <col min="1284" max="1284" width="19.6640625" style="2079" customWidth="1"/>
    <col min="1285" max="1285" width="19.44140625" style="2079" customWidth="1"/>
    <col min="1286" max="1286" width="17.109375" style="2079" customWidth="1"/>
    <col min="1287" max="1287" width="22.44140625" style="2079" customWidth="1"/>
    <col min="1288" max="1288" width="19.109375" style="2079" customWidth="1"/>
    <col min="1289" max="1289" width="18.6640625" style="2079" customWidth="1"/>
    <col min="1290" max="1290" width="16.6640625" style="2079" customWidth="1"/>
    <col min="1291" max="1291" width="10.88671875" style="2079" bestFit="1" customWidth="1"/>
    <col min="1292" max="1292" width="10.33203125" style="2079" customWidth="1"/>
    <col min="1293" max="1536" width="9.44140625" style="2079"/>
    <col min="1537" max="1537" width="46.6640625" style="2079" customWidth="1"/>
    <col min="1538" max="1538" width="19.88671875" style="2079" customWidth="1"/>
    <col min="1539" max="1539" width="19.5546875" style="2079" customWidth="1"/>
    <col min="1540" max="1540" width="19.6640625" style="2079" customWidth="1"/>
    <col min="1541" max="1541" width="19.44140625" style="2079" customWidth="1"/>
    <col min="1542" max="1542" width="17.109375" style="2079" customWidth="1"/>
    <col min="1543" max="1543" width="22.44140625" style="2079" customWidth="1"/>
    <col min="1544" max="1544" width="19.109375" style="2079" customWidth="1"/>
    <col min="1545" max="1545" width="18.6640625" style="2079" customWidth="1"/>
    <col min="1546" max="1546" width="16.6640625" style="2079" customWidth="1"/>
    <col min="1547" max="1547" width="10.88671875" style="2079" bestFit="1" customWidth="1"/>
    <col min="1548" max="1548" width="10.33203125" style="2079" customWidth="1"/>
    <col min="1549" max="1792" width="9.44140625" style="2079"/>
    <col min="1793" max="1793" width="46.6640625" style="2079" customWidth="1"/>
    <col min="1794" max="1794" width="19.88671875" style="2079" customWidth="1"/>
    <col min="1795" max="1795" width="19.5546875" style="2079" customWidth="1"/>
    <col min="1796" max="1796" width="19.6640625" style="2079" customWidth="1"/>
    <col min="1797" max="1797" width="19.44140625" style="2079" customWidth="1"/>
    <col min="1798" max="1798" width="17.109375" style="2079" customWidth="1"/>
    <col min="1799" max="1799" width="22.44140625" style="2079" customWidth="1"/>
    <col min="1800" max="1800" width="19.109375" style="2079" customWidth="1"/>
    <col min="1801" max="1801" width="18.6640625" style="2079" customWidth="1"/>
    <col min="1802" max="1802" width="16.6640625" style="2079" customWidth="1"/>
    <col min="1803" max="1803" width="10.88671875" style="2079" bestFit="1" customWidth="1"/>
    <col min="1804" max="1804" width="10.33203125" style="2079" customWidth="1"/>
    <col min="1805" max="2048" width="9.44140625" style="2079"/>
    <col min="2049" max="2049" width="46.6640625" style="2079" customWidth="1"/>
    <col min="2050" max="2050" width="19.88671875" style="2079" customWidth="1"/>
    <col min="2051" max="2051" width="19.5546875" style="2079" customWidth="1"/>
    <col min="2052" max="2052" width="19.6640625" style="2079" customWidth="1"/>
    <col min="2053" max="2053" width="19.44140625" style="2079" customWidth="1"/>
    <col min="2054" max="2054" width="17.109375" style="2079" customWidth="1"/>
    <col min="2055" max="2055" width="22.44140625" style="2079" customWidth="1"/>
    <col min="2056" max="2056" width="19.109375" style="2079" customWidth="1"/>
    <col min="2057" max="2057" width="18.6640625" style="2079" customWidth="1"/>
    <col min="2058" max="2058" width="16.6640625" style="2079" customWidth="1"/>
    <col min="2059" max="2059" width="10.88671875" style="2079" bestFit="1" customWidth="1"/>
    <col min="2060" max="2060" width="10.33203125" style="2079" customWidth="1"/>
    <col min="2061" max="2304" width="9.44140625" style="2079"/>
    <col min="2305" max="2305" width="46.6640625" style="2079" customWidth="1"/>
    <col min="2306" max="2306" width="19.88671875" style="2079" customWidth="1"/>
    <col min="2307" max="2307" width="19.5546875" style="2079" customWidth="1"/>
    <col min="2308" max="2308" width="19.6640625" style="2079" customWidth="1"/>
    <col min="2309" max="2309" width="19.44140625" style="2079" customWidth="1"/>
    <col min="2310" max="2310" width="17.109375" style="2079" customWidth="1"/>
    <col min="2311" max="2311" width="22.44140625" style="2079" customWidth="1"/>
    <col min="2312" max="2312" width="19.109375" style="2079" customWidth="1"/>
    <col min="2313" max="2313" width="18.6640625" style="2079" customWidth="1"/>
    <col min="2314" max="2314" width="16.6640625" style="2079" customWidth="1"/>
    <col min="2315" max="2315" width="10.88671875" style="2079" bestFit="1" customWidth="1"/>
    <col min="2316" max="2316" width="10.33203125" style="2079" customWidth="1"/>
    <col min="2317" max="2560" width="9.44140625" style="2079"/>
    <col min="2561" max="2561" width="46.6640625" style="2079" customWidth="1"/>
    <col min="2562" max="2562" width="19.88671875" style="2079" customWidth="1"/>
    <col min="2563" max="2563" width="19.5546875" style="2079" customWidth="1"/>
    <col min="2564" max="2564" width="19.6640625" style="2079" customWidth="1"/>
    <col min="2565" max="2565" width="19.44140625" style="2079" customWidth="1"/>
    <col min="2566" max="2566" width="17.109375" style="2079" customWidth="1"/>
    <col min="2567" max="2567" width="22.44140625" style="2079" customWidth="1"/>
    <col min="2568" max="2568" width="19.109375" style="2079" customWidth="1"/>
    <col min="2569" max="2569" width="18.6640625" style="2079" customWidth="1"/>
    <col min="2570" max="2570" width="16.6640625" style="2079" customWidth="1"/>
    <col min="2571" max="2571" width="10.88671875" style="2079" bestFit="1" customWidth="1"/>
    <col min="2572" max="2572" width="10.33203125" style="2079" customWidth="1"/>
    <col min="2573" max="2816" width="9.44140625" style="2079"/>
    <col min="2817" max="2817" width="46.6640625" style="2079" customWidth="1"/>
    <col min="2818" max="2818" width="19.88671875" style="2079" customWidth="1"/>
    <col min="2819" max="2819" width="19.5546875" style="2079" customWidth="1"/>
    <col min="2820" max="2820" width="19.6640625" style="2079" customWidth="1"/>
    <col min="2821" max="2821" width="19.44140625" style="2079" customWidth="1"/>
    <col min="2822" max="2822" width="17.109375" style="2079" customWidth="1"/>
    <col min="2823" max="2823" width="22.44140625" style="2079" customWidth="1"/>
    <col min="2824" max="2824" width="19.109375" style="2079" customWidth="1"/>
    <col min="2825" max="2825" width="18.6640625" style="2079" customWidth="1"/>
    <col min="2826" max="2826" width="16.6640625" style="2079" customWidth="1"/>
    <col min="2827" max="2827" width="10.88671875" style="2079" bestFit="1" customWidth="1"/>
    <col min="2828" max="2828" width="10.33203125" style="2079" customWidth="1"/>
    <col min="2829" max="3072" width="9.44140625" style="2079"/>
    <col min="3073" max="3073" width="46.6640625" style="2079" customWidth="1"/>
    <col min="3074" max="3074" width="19.88671875" style="2079" customWidth="1"/>
    <col min="3075" max="3075" width="19.5546875" style="2079" customWidth="1"/>
    <col min="3076" max="3076" width="19.6640625" style="2079" customWidth="1"/>
    <col min="3077" max="3077" width="19.44140625" style="2079" customWidth="1"/>
    <col min="3078" max="3078" width="17.109375" style="2079" customWidth="1"/>
    <col min="3079" max="3079" width="22.44140625" style="2079" customWidth="1"/>
    <col min="3080" max="3080" width="19.109375" style="2079" customWidth="1"/>
    <col min="3081" max="3081" width="18.6640625" style="2079" customWidth="1"/>
    <col min="3082" max="3082" width="16.6640625" style="2079" customWidth="1"/>
    <col min="3083" max="3083" width="10.88671875" style="2079" bestFit="1" customWidth="1"/>
    <col min="3084" max="3084" width="10.33203125" style="2079" customWidth="1"/>
    <col min="3085" max="3328" width="9.44140625" style="2079"/>
    <col min="3329" max="3329" width="46.6640625" style="2079" customWidth="1"/>
    <col min="3330" max="3330" width="19.88671875" style="2079" customWidth="1"/>
    <col min="3331" max="3331" width="19.5546875" style="2079" customWidth="1"/>
    <col min="3332" max="3332" width="19.6640625" style="2079" customWidth="1"/>
    <col min="3333" max="3333" width="19.44140625" style="2079" customWidth="1"/>
    <col min="3334" max="3334" width="17.109375" style="2079" customWidth="1"/>
    <col min="3335" max="3335" width="22.44140625" style="2079" customWidth="1"/>
    <col min="3336" max="3336" width="19.109375" style="2079" customWidth="1"/>
    <col min="3337" max="3337" width="18.6640625" style="2079" customWidth="1"/>
    <col min="3338" max="3338" width="16.6640625" style="2079" customWidth="1"/>
    <col min="3339" max="3339" width="10.88671875" style="2079" bestFit="1" customWidth="1"/>
    <col min="3340" max="3340" width="10.33203125" style="2079" customWidth="1"/>
    <col min="3341" max="3584" width="9.44140625" style="2079"/>
    <col min="3585" max="3585" width="46.6640625" style="2079" customWidth="1"/>
    <col min="3586" max="3586" width="19.88671875" style="2079" customWidth="1"/>
    <col min="3587" max="3587" width="19.5546875" style="2079" customWidth="1"/>
    <col min="3588" max="3588" width="19.6640625" style="2079" customWidth="1"/>
    <col min="3589" max="3589" width="19.44140625" style="2079" customWidth="1"/>
    <col min="3590" max="3590" width="17.109375" style="2079" customWidth="1"/>
    <col min="3591" max="3591" width="22.44140625" style="2079" customWidth="1"/>
    <col min="3592" max="3592" width="19.109375" style="2079" customWidth="1"/>
    <col min="3593" max="3593" width="18.6640625" style="2079" customWidth="1"/>
    <col min="3594" max="3594" width="16.6640625" style="2079" customWidth="1"/>
    <col min="3595" max="3595" width="10.88671875" style="2079" bestFit="1" customWidth="1"/>
    <col min="3596" max="3596" width="10.33203125" style="2079" customWidth="1"/>
    <col min="3597" max="3840" width="9.44140625" style="2079"/>
    <col min="3841" max="3841" width="46.6640625" style="2079" customWidth="1"/>
    <col min="3842" max="3842" width="19.88671875" style="2079" customWidth="1"/>
    <col min="3843" max="3843" width="19.5546875" style="2079" customWidth="1"/>
    <col min="3844" max="3844" width="19.6640625" style="2079" customWidth="1"/>
    <col min="3845" max="3845" width="19.44140625" style="2079" customWidth="1"/>
    <col min="3846" max="3846" width="17.109375" style="2079" customWidth="1"/>
    <col min="3847" max="3847" width="22.44140625" style="2079" customWidth="1"/>
    <col min="3848" max="3848" width="19.109375" style="2079" customWidth="1"/>
    <col min="3849" max="3849" width="18.6640625" style="2079" customWidth="1"/>
    <col min="3850" max="3850" width="16.6640625" style="2079" customWidth="1"/>
    <col min="3851" max="3851" width="10.88671875" style="2079" bestFit="1" customWidth="1"/>
    <col min="3852" max="3852" width="10.33203125" style="2079" customWidth="1"/>
    <col min="3853" max="4096" width="9.44140625" style="2079"/>
    <col min="4097" max="4097" width="46.6640625" style="2079" customWidth="1"/>
    <col min="4098" max="4098" width="19.88671875" style="2079" customWidth="1"/>
    <col min="4099" max="4099" width="19.5546875" style="2079" customWidth="1"/>
    <col min="4100" max="4100" width="19.6640625" style="2079" customWidth="1"/>
    <col min="4101" max="4101" width="19.44140625" style="2079" customWidth="1"/>
    <col min="4102" max="4102" width="17.109375" style="2079" customWidth="1"/>
    <col min="4103" max="4103" width="22.44140625" style="2079" customWidth="1"/>
    <col min="4104" max="4104" width="19.109375" style="2079" customWidth="1"/>
    <col min="4105" max="4105" width="18.6640625" style="2079" customWidth="1"/>
    <col min="4106" max="4106" width="16.6640625" style="2079" customWidth="1"/>
    <col min="4107" max="4107" width="10.88671875" style="2079" bestFit="1" customWidth="1"/>
    <col min="4108" max="4108" width="10.33203125" style="2079" customWidth="1"/>
    <col min="4109" max="4352" width="9.44140625" style="2079"/>
    <col min="4353" max="4353" width="46.6640625" style="2079" customWidth="1"/>
    <col min="4354" max="4354" width="19.88671875" style="2079" customWidth="1"/>
    <col min="4355" max="4355" width="19.5546875" style="2079" customWidth="1"/>
    <col min="4356" max="4356" width="19.6640625" style="2079" customWidth="1"/>
    <col min="4357" max="4357" width="19.44140625" style="2079" customWidth="1"/>
    <col min="4358" max="4358" width="17.109375" style="2079" customWidth="1"/>
    <col min="4359" max="4359" width="22.44140625" style="2079" customWidth="1"/>
    <col min="4360" max="4360" width="19.109375" style="2079" customWidth="1"/>
    <col min="4361" max="4361" width="18.6640625" style="2079" customWidth="1"/>
    <col min="4362" max="4362" width="16.6640625" style="2079" customWidth="1"/>
    <col min="4363" max="4363" width="10.88671875" style="2079" bestFit="1" customWidth="1"/>
    <col min="4364" max="4364" width="10.33203125" style="2079" customWidth="1"/>
    <col min="4365" max="4608" width="9.44140625" style="2079"/>
    <col min="4609" max="4609" width="46.6640625" style="2079" customWidth="1"/>
    <col min="4610" max="4610" width="19.88671875" style="2079" customWidth="1"/>
    <col min="4611" max="4611" width="19.5546875" style="2079" customWidth="1"/>
    <col min="4612" max="4612" width="19.6640625" style="2079" customWidth="1"/>
    <col min="4613" max="4613" width="19.44140625" style="2079" customWidth="1"/>
    <col min="4614" max="4614" width="17.109375" style="2079" customWidth="1"/>
    <col min="4615" max="4615" width="22.44140625" style="2079" customWidth="1"/>
    <col min="4616" max="4616" width="19.109375" style="2079" customWidth="1"/>
    <col min="4617" max="4617" width="18.6640625" style="2079" customWidth="1"/>
    <col min="4618" max="4618" width="16.6640625" style="2079" customWidth="1"/>
    <col min="4619" max="4619" width="10.88671875" style="2079" bestFit="1" customWidth="1"/>
    <col min="4620" max="4620" width="10.33203125" style="2079" customWidth="1"/>
    <col min="4621" max="4864" width="9.44140625" style="2079"/>
    <col min="4865" max="4865" width="46.6640625" style="2079" customWidth="1"/>
    <col min="4866" max="4866" width="19.88671875" style="2079" customWidth="1"/>
    <col min="4867" max="4867" width="19.5546875" style="2079" customWidth="1"/>
    <col min="4868" max="4868" width="19.6640625" style="2079" customWidth="1"/>
    <col min="4869" max="4869" width="19.44140625" style="2079" customWidth="1"/>
    <col min="4870" max="4870" width="17.109375" style="2079" customWidth="1"/>
    <col min="4871" max="4871" width="22.44140625" style="2079" customWidth="1"/>
    <col min="4872" max="4872" width="19.109375" style="2079" customWidth="1"/>
    <col min="4873" max="4873" width="18.6640625" style="2079" customWidth="1"/>
    <col min="4874" max="4874" width="16.6640625" style="2079" customWidth="1"/>
    <col min="4875" max="4875" width="10.88671875" style="2079" bestFit="1" customWidth="1"/>
    <col min="4876" max="4876" width="10.33203125" style="2079" customWidth="1"/>
    <col min="4877" max="5120" width="9.44140625" style="2079"/>
    <col min="5121" max="5121" width="46.6640625" style="2079" customWidth="1"/>
    <col min="5122" max="5122" width="19.88671875" style="2079" customWidth="1"/>
    <col min="5123" max="5123" width="19.5546875" style="2079" customWidth="1"/>
    <col min="5124" max="5124" width="19.6640625" style="2079" customWidth="1"/>
    <col min="5125" max="5125" width="19.44140625" style="2079" customWidth="1"/>
    <col min="5126" max="5126" width="17.109375" style="2079" customWidth="1"/>
    <col min="5127" max="5127" width="22.44140625" style="2079" customWidth="1"/>
    <col min="5128" max="5128" width="19.109375" style="2079" customWidth="1"/>
    <col min="5129" max="5129" width="18.6640625" style="2079" customWidth="1"/>
    <col min="5130" max="5130" width="16.6640625" style="2079" customWidth="1"/>
    <col min="5131" max="5131" width="10.88671875" style="2079" bestFit="1" customWidth="1"/>
    <col min="5132" max="5132" width="10.33203125" style="2079" customWidth="1"/>
    <col min="5133" max="5376" width="9.44140625" style="2079"/>
    <col min="5377" max="5377" width="46.6640625" style="2079" customWidth="1"/>
    <col min="5378" max="5378" width="19.88671875" style="2079" customWidth="1"/>
    <col min="5379" max="5379" width="19.5546875" style="2079" customWidth="1"/>
    <col min="5380" max="5380" width="19.6640625" style="2079" customWidth="1"/>
    <col min="5381" max="5381" width="19.44140625" style="2079" customWidth="1"/>
    <col min="5382" max="5382" width="17.109375" style="2079" customWidth="1"/>
    <col min="5383" max="5383" width="22.44140625" style="2079" customWidth="1"/>
    <col min="5384" max="5384" width="19.109375" style="2079" customWidth="1"/>
    <col min="5385" max="5385" width="18.6640625" style="2079" customWidth="1"/>
    <col min="5386" max="5386" width="16.6640625" style="2079" customWidth="1"/>
    <col min="5387" max="5387" width="10.88671875" style="2079" bestFit="1" customWidth="1"/>
    <col min="5388" max="5388" width="10.33203125" style="2079" customWidth="1"/>
    <col min="5389" max="5632" width="9.44140625" style="2079"/>
    <col min="5633" max="5633" width="46.6640625" style="2079" customWidth="1"/>
    <col min="5634" max="5634" width="19.88671875" style="2079" customWidth="1"/>
    <col min="5635" max="5635" width="19.5546875" style="2079" customWidth="1"/>
    <col min="5636" max="5636" width="19.6640625" style="2079" customWidth="1"/>
    <col min="5637" max="5637" width="19.44140625" style="2079" customWidth="1"/>
    <col min="5638" max="5638" width="17.109375" style="2079" customWidth="1"/>
    <col min="5639" max="5639" width="22.44140625" style="2079" customWidth="1"/>
    <col min="5640" max="5640" width="19.109375" style="2079" customWidth="1"/>
    <col min="5641" max="5641" width="18.6640625" style="2079" customWidth="1"/>
    <col min="5642" max="5642" width="16.6640625" style="2079" customWidth="1"/>
    <col min="5643" max="5643" width="10.88671875" style="2079" bestFit="1" customWidth="1"/>
    <col min="5644" max="5644" width="10.33203125" style="2079" customWidth="1"/>
    <col min="5645" max="5888" width="9.44140625" style="2079"/>
    <col min="5889" max="5889" width="46.6640625" style="2079" customWidth="1"/>
    <col min="5890" max="5890" width="19.88671875" style="2079" customWidth="1"/>
    <col min="5891" max="5891" width="19.5546875" style="2079" customWidth="1"/>
    <col min="5892" max="5892" width="19.6640625" style="2079" customWidth="1"/>
    <col min="5893" max="5893" width="19.44140625" style="2079" customWidth="1"/>
    <col min="5894" max="5894" width="17.109375" style="2079" customWidth="1"/>
    <col min="5895" max="5895" width="22.44140625" style="2079" customWidth="1"/>
    <col min="5896" max="5896" width="19.109375" style="2079" customWidth="1"/>
    <col min="5897" max="5897" width="18.6640625" style="2079" customWidth="1"/>
    <col min="5898" max="5898" width="16.6640625" style="2079" customWidth="1"/>
    <col min="5899" max="5899" width="10.88671875" style="2079" bestFit="1" customWidth="1"/>
    <col min="5900" max="5900" width="10.33203125" style="2079" customWidth="1"/>
    <col min="5901" max="6144" width="9.44140625" style="2079"/>
    <col min="6145" max="6145" width="46.6640625" style="2079" customWidth="1"/>
    <col min="6146" max="6146" width="19.88671875" style="2079" customWidth="1"/>
    <col min="6147" max="6147" width="19.5546875" style="2079" customWidth="1"/>
    <col min="6148" max="6148" width="19.6640625" style="2079" customWidth="1"/>
    <col min="6149" max="6149" width="19.44140625" style="2079" customWidth="1"/>
    <col min="6150" max="6150" width="17.109375" style="2079" customWidth="1"/>
    <col min="6151" max="6151" width="22.44140625" style="2079" customWidth="1"/>
    <col min="6152" max="6152" width="19.109375" style="2079" customWidth="1"/>
    <col min="6153" max="6153" width="18.6640625" style="2079" customWidth="1"/>
    <col min="6154" max="6154" width="16.6640625" style="2079" customWidth="1"/>
    <col min="6155" max="6155" width="10.88671875" style="2079" bestFit="1" customWidth="1"/>
    <col min="6156" max="6156" width="10.33203125" style="2079" customWidth="1"/>
    <col min="6157" max="6400" width="9.44140625" style="2079"/>
    <col min="6401" max="6401" width="46.6640625" style="2079" customWidth="1"/>
    <col min="6402" max="6402" width="19.88671875" style="2079" customWidth="1"/>
    <col min="6403" max="6403" width="19.5546875" style="2079" customWidth="1"/>
    <col min="6404" max="6404" width="19.6640625" style="2079" customWidth="1"/>
    <col min="6405" max="6405" width="19.44140625" style="2079" customWidth="1"/>
    <col min="6406" max="6406" width="17.109375" style="2079" customWidth="1"/>
    <col min="6407" max="6407" width="22.44140625" style="2079" customWidth="1"/>
    <col min="6408" max="6408" width="19.109375" style="2079" customWidth="1"/>
    <col min="6409" max="6409" width="18.6640625" style="2079" customWidth="1"/>
    <col min="6410" max="6410" width="16.6640625" style="2079" customWidth="1"/>
    <col min="6411" max="6411" width="10.88671875" style="2079" bestFit="1" customWidth="1"/>
    <col min="6412" max="6412" width="10.33203125" style="2079" customWidth="1"/>
    <col min="6413" max="6656" width="9.44140625" style="2079"/>
    <col min="6657" max="6657" width="46.6640625" style="2079" customWidth="1"/>
    <col min="6658" max="6658" width="19.88671875" style="2079" customWidth="1"/>
    <col min="6659" max="6659" width="19.5546875" style="2079" customWidth="1"/>
    <col min="6660" max="6660" width="19.6640625" style="2079" customWidth="1"/>
    <col min="6661" max="6661" width="19.44140625" style="2079" customWidth="1"/>
    <col min="6662" max="6662" width="17.109375" style="2079" customWidth="1"/>
    <col min="6663" max="6663" width="22.44140625" style="2079" customWidth="1"/>
    <col min="6664" max="6664" width="19.109375" style="2079" customWidth="1"/>
    <col min="6665" max="6665" width="18.6640625" style="2079" customWidth="1"/>
    <col min="6666" max="6666" width="16.6640625" style="2079" customWidth="1"/>
    <col min="6667" max="6667" width="10.88671875" style="2079" bestFit="1" customWidth="1"/>
    <col min="6668" max="6668" width="10.33203125" style="2079" customWidth="1"/>
    <col min="6669" max="6912" width="9.44140625" style="2079"/>
    <col min="6913" max="6913" width="46.6640625" style="2079" customWidth="1"/>
    <col min="6914" max="6914" width="19.88671875" style="2079" customWidth="1"/>
    <col min="6915" max="6915" width="19.5546875" style="2079" customWidth="1"/>
    <col min="6916" max="6916" width="19.6640625" style="2079" customWidth="1"/>
    <col min="6917" max="6917" width="19.44140625" style="2079" customWidth="1"/>
    <col min="6918" max="6918" width="17.109375" style="2079" customWidth="1"/>
    <col min="6919" max="6919" width="22.44140625" style="2079" customWidth="1"/>
    <col min="6920" max="6920" width="19.109375" style="2079" customWidth="1"/>
    <col min="6921" max="6921" width="18.6640625" style="2079" customWidth="1"/>
    <col min="6922" max="6922" width="16.6640625" style="2079" customWidth="1"/>
    <col min="6923" max="6923" width="10.88671875" style="2079" bestFit="1" customWidth="1"/>
    <col min="6924" max="6924" width="10.33203125" style="2079" customWidth="1"/>
    <col min="6925" max="7168" width="9.44140625" style="2079"/>
    <col min="7169" max="7169" width="46.6640625" style="2079" customWidth="1"/>
    <col min="7170" max="7170" width="19.88671875" style="2079" customWidth="1"/>
    <col min="7171" max="7171" width="19.5546875" style="2079" customWidth="1"/>
    <col min="7172" max="7172" width="19.6640625" style="2079" customWidth="1"/>
    <col min="7173" max="7173" width="19.44140625" style="2079" customWidth="1"/>
    <col min="7174" max="7174" width="17.109375" style="2079" customWidth="1"/>
    <col min="7175" max="7175" width="22.44140625" style="2079" customWidth="1"/>
    <col min="7176" max="7176" width="19.109375" style="2079" customWidth="1"/>
    <col min="7177" max="7177" width="18.6640625" style="2079" customWidth="1"/>
    <col min="7178" max="7178" width="16.6640625" style="2079" customWidth="1"/>
    <col min="7179" max="7179" width="10.88671875" style="2079" bestFit="1" customWidth="1"/>
    <col min="7180" max="7180" width="10.33203125" style="2079" customWidth="1"/>
    <col min="7181" max="7424" width="9.44140625" style="2079"/>
    <col min="7425" max="7425" width="46.6640625" style="2079" customWidth="1"/>
    <col min="7426" max="7426" width="19.88671875" style="2079" customWidth="1"/>
    <col min="7427" max="7427" width="19.5546875" style="2079" customWidth="1"/>
    <col min="7428" max="7428" width="19.6640625" style="2079" customWidth="1"/>
    <col min="7429" max="7429" width="19.44140625" style="2079" customWidth="1"/>
    <col min="7430" max="7430" width="17.109375" style="2079" customWidth="1"/>
    <col min="7431" max="7431" width="22.44140625" style="2079" customWidth="1"/>
    <col min="7432" max="7432" width="19.109375" style="2079" customWidth="1"/>
    <col min="7433" max="7433" width="18.6640625" style="2079" customWidth="1"/>
    <col min="7434" max="7434" width="16.6640625" style="2079" customWidth="1"/>
    <col min="7435" max="7435" width="10.88671875" style="2079" bestFit="1" customWidth="1"/>
    <col min="7436" max="7436" width="10.33203125" style="2079" customWidth="1"/>
    <col min="7437" max="7680" width="9.44140625" style="2079"/>
    <col min="7681" max="7681" width="46.6640625" style="2079" customWidth="1"/>
    <col min="7682" max="7682" width="19.88671875" style="2079" customWidth="1"/>
    <col min="7683" max="7683" width="19.5546875" style="2079" customWidth="1"/>
    <col min="7684" max="7684" width="19.6640625" style="2079" customWidth="1"/>
    <col min="7685" max="7685" width="19.44140625" style="2079" customWidth="1"/>
    <col min="7686" max="7686" width="17.109375" style="2079" customWidth="1"/>
    <col min="7687" max="7687" width="22.44140625" style="2079" customWidth="1"/>
    <col min="7688" max="7688" width="19.109375" style="2079" customWidth="1"/>
    <col min="7689" max="7689" width="18.6640625" style="2079" customWidth="1"/>
    <col min="7690" max="7690" width="16.6640625" style="2079" customWidth="1"/>
    <col min="7691" max="7691" width="10.88671875" style="2079" bestFit="1" customWidth="1"/>
    <col min="7692" max="7692" width="10.33203125" style="2079" customWidth="1"/>
    <col min="7693" max="7936" width="9.44140625" style="2079"/>
    <col min="7937" max="7937" width="46.6640625" style="2079" customWidth="1"/>
    <col min="7938" max="7938" width="19.88671875" style="2079" customWidth="1"/>
    <col min="7939" max="7939" width="19.5546875" style="2079" customWidth="1"/>
    <col min="7940" max="7940" width="19.6640625" style="2079" customWidth="1"/>
    <col min="7941" max="7941" width="19.44140625" style="2079" customWidth="1"/>
    <col min="7942" max="7942" width="17.109375" style="2079" customWidth="1"/>
    <col min="7943" max="7943" width="22.44140625" style="2079" customWidth="1"/>
    <col min="7944" max="7944" width="19.109375" style="2079" customWidth="1"/>
    <col min="7945" max="7945" width="18.6640625" style="2079" customWidth="1"/>
    <col min="7946" max="7946" width="16.6640625" style="2079" customWidth="1"/>
    <col min="7947" max="7947" width="10.88671875" style="2079" bestFit="1" customWidth="1"/>
    <col min="7948" max="7948" width="10.33203125" style="2079" customWidth="1"/>
    <col min="7949" max="8192" width="9.44140625" style="2079"/>
    <col min="8193" max="8193" width="46.6640625" style="2079" customWidth="1"/>
    <col min="8194" max="8194" width="19.88671875" style="2079" customWidth="1"/>
    <col min="8195" max="8195" width="19.5546875" style="2079" customWidth="1"/>
    <col min="8196" max="8196" width="19.6640625" style="2079" customWidth="1"/>
    <col min="8197" max="8197" width="19.44140625" style="2079" customWidth="1"/>
    <col min="8198" max="8198" width="17.109375" style="2079" customWidth="1"/>
    <col min="8199" max="8199" width="22.44140625" style="2079" customWidth="1"/>
    <col min="8200" max="8200" width="19.109375" style="2079" customWidth="1"/>
    <col min="8201" max="8201" width="18.6640625" style="2079" customWidth="1"/>
    <col min="8202" max="8202" width="16.6640625" style="2079" customWidth="1"/>
    <col min="8203" max="8203" width="10.88671875" style="2079" bestFit="1" customWidth="1"/>
    <col min="8204" max="8204" width="10.33203125" style="2079" customWidth="1"/>
    <col min="8205" max="8448" width="9.44140625" style="2079"/>
    <col min="8449" max="8449" width="46.6640625" style="2079" customWidth="1"/>
    <col min="8450" max="8450" width="19.88671875" style="2079" customWidth="1"/>
    <col min="8451" max="8451" width="19.5546875" style="2079" customWidth="1"/>
    <col min="8452" max="8452" width="19.6640625" style="2079" customWidth="1"/>
    <col min="8453" max="8453" width="19.44140625" style="2079" customWidth="1"/>
    <col min="8454" max="8454" width="17.109375" style="2079" customWidth="1"/>
    <col min="8455" max="8455" width="22.44140625" style="2079" customWidth="1"/>
    <col min="8456" max="8456" width="19.109375" style="2079" customWidth="1"/>
    <col min="8457" max="8457" width="18.6640625" style="2079" customWidth="1"/>
    <col min="8458" max="8458" width="16.6640625" style="2079" customWidth="1"/>
    <col min="8459" max="8459" width="10.88671875" style="2079" bestFit="1" customWidth="1"/>
    <col min="8460" max="8460" width="10.33203125" style="2079" customWidth="1"/>
    <col min="8461" max="8704" width="9.44140625" style="2079"/>
    <col min="8705" max="8705" width="46.6640625" style="2079" customWidth="1"/>
    <col min="8706" max="8706" width="19.88671875" style="2079" customWidth="1"/>
    <col min="8707" max="8707" width="19.5546875" style="2079" customWidth="1"/>
    <col min="8708" max="8708" width="19.6640625" style="2079" customWidth="1"/>
    <col min="8709" max="8709" width="19.44140625" style="2079" customWidth="1"/>
    <col min="8710" max="8710" width="17.109375" style="2079" customWidth="1"/>
    <col min="8711" max="8711" width="22.44140625" style="2079" customWidth="1"/>
    <col min="8712" max="8712" width="19.109375" style="2079" customWidth="1"/>
    <col min="8713" max="8713" width="18.6640625" style="2079" customWidth="1"/>
    <col min="8714" max="8714" width="16.6640625" style="2079" customWidth="1"/>
    <col min="8715" max="8715" width="10.88671875" style="2079" bestFit="1" customWidth="1"/>
    <col min="8716" max="8716" width="10.33203125" style="2079" customWidth="1"/>
    <col min="8717" max="8960" width="9.44140625" style="2079"/>
    <col min="8961" max="8961" width="46.6640625" style="2079" customWidth="1"/>
    <col min="8962" max="8962" width="19.88671875" style="2079" customWidth="1"/>
    <col min="8963" max="8963" width="19.5546875" style="2079" customWidth="1"/>
    <col min="8964" max="8964" width="19.6640625" style="2079" customWidth="1"/>
    <col min="8965" max="8965" width="19.44140625" style="2079" customWidth="1"/>
    <col min="8966" max="8966" width="17.109375" style="2079" customWidth="1"/>
    <col min="8967" max="8967" width="22.44140625" style="2079" customWidth="1"/>
    <col min="8968" max="8968" width="19.109375" style="2079" customWidth="1"/>
    <col min="8969" max="8969" width="18.6640625" style="2079" customWidth="1"/>
    <col min="8970" max="8970" width="16.6640625" style="2079" customWidth="1"/>
    <col min="8971" max="8971" width="10.88671875" style="2079" bestFit="1" customWidth="1"/>
    <col min="8972" max="8972" width="10.33203125" style="2079" customWidth="1"/>
    <col min="8973" max="9216" width="9.44140625" style="2079"/>
    <col min="9217" max="9217" width="46.6640625" style="2079" customWidth="1"/>
    <col min="9218" max="9218" width="19.88671875" style="2079" customWidth="1"/>
    <col min="9219" max="9219" width="19.5546875" style="2079" customWidth="1"/>
    <col min="9220" max="9220" width="19.6640625" style="2079" customWidth="1"/>
    <col min="9221" max="9221" width="19.44140625" style="2079" customWidth="1"/>
    <col min="9222" max="9222" width="17.109375" style="2079" customWidth="1"/>
    <col min="9223" max="9223" width="22.44140625" style="2079" customWidth="1"/>
    <col min="9224" max="9224" width="19.109375" style="2079" customWidth="1"/>
    <col min="9225" max="9225" width="18.6640625" style="2079" customWidth="1"/>
    <col min="9226" max="9226" width="16.6640625" style="2079" customWidth="1"/>
    <col min="9227" max="9227" width="10.88671875" style="2079" bestFit="1" customWidth="1"/>
    <col min="9228" max="9228" width="10.33203125" style="2079" customWidth="1"/>
    <col min="9229" max="9472" width="9.44140625" style="2079"/>
    <col min="9473" max="9473" width="46.6640625" style="2079" customWidth="1"/>
    <col min="9474" max="9474" width="19.88671875" style="2079" customWidth="1"/>
    <col min="9475" max="9475" width="19.5546875" style="2079" customWidth="1"/>
    <col min="9476" max="9476" width="19.6640625" style="2079" customWidth="1"/>
    <col min="9477" max="9477" width="19.44140625" style="2079" customWidth="1"/>
    <col min="9478" max="9478" width="17.109375" style="2079" customWidth="1"/>
    <col min="9479" max="9479" width="22.44140625" style="2079" customWidth="1"/>
    <col min="9480" max="9480" width="19.109375" style="2079" customWidth="1"/>
    <col min="9481" max="9481" width="18.6640625" style="2079" customWidth="1"/>
    <col min="9482" max="9482" width="16.6640625" style="2079" customWidth="1"/>
    <col min="9483" max="9483" width="10.88671875" style="2079" bestFit="1" customWidth="1"/>
    <col min="9484" max="9484" width="10.33203125" style="2079" customWidth="1"/>
    <col min="9485" max="9728" width="9.44140625" style="2079"/>
    <col min="9729" max="9729" width="46.6640625" style="2079" customWidth="1"/>
    <col min="9730" max="9730" width="19.88671875" style="2079" customWidth="1"/>
    <col min="9731" max="9731" width="19.5546875" style="2079" customWidth="1"/>
    <col min="9732" max="9732" width="19.6640625" style="2079" customWidth="1"/>
    <col min="9733" max="9733" width="19.44140625" style="2079" customWidth="1"/>
    <col min="9734" max="9734" width="17.109375" style="2079" customWidth="1"/>
    <col min="9735" max="9735" width="22.44140625" style="2079" customWidth="1"/>
    <col min="9736" max="9736" width="19.109375" style="2079" customWidth="1"/>
    <col min="9737" max="9737" width="18.6640625" style="2079" customWidth="1"/>
    <col min="9738" max="9738" width="16.6640625" style="2079" customWidth="1"/>
    <col min="9739" max="9739" width="10.88671875" style="2079" bestFit="1" customWidth="1"/>
    <col min="9740" max="9740" width="10.33203125" style="2079" customWidth="1"/>
    <col min="9741" max="9984" width="9.44140625" style="2079"/>
    <col min="9985" max="9985" width="46.6640625" style="2079" customWidth="1"/>
    <col min="9986" max="9986" width="19.88671875" style="2079" customWidth="1"/>
    <col min="9987" max="9987" width="19.5546875" style="2079" customWidth="1"/>
    <col min="9988" max="9988" width="19.6640625" style="2079" customWidth="1"/>
    <col min="9989" max="9989" width="19.44140625" style="2079" customWidth="1"/>
    <col min="9990" max="9990" width="17.109375" style="2079" customWidth="1"/>
    <col min="9991" max="9991" width="22.44140625" style="2079" customWidth="1"/>
    <col min="9992" max="9992" width="19.109375" style="2079" customWidth="1"/>
    <col min="9993" max="9993" width="18.6640625" style="2079" customWidth="1"/>
    <col min="9994" max="9994" width="16.6640625" style="2079" customWidth="1"/>
    <col min="9995" max="9995" width="10.88671875" style="2079" bestFit="1" customWidth="1"/>
    <col min="9996" max="9996" width="10.33203125" style="2079" customWidth="1"/>
    <col min="9997" max="10240" width="9.44140625" style="2079"/>
    <col min="10241" max="10241" width="46.6640625" style="2079" customWidth="1"/>
    <col min="10242" max="10242" width="19.88671875" style="2079" customWidth="1"/>
    <col min="10243" max="10243" width="19.5546875" style="2079" customWidth="1"/>
    <col min="10244" max="10244" width="19.6640625" style="2079" customWidth="1"/>
    <col min="10245" max="10245" width="19.44140625" style="2079" customWidth="1"/>
    <col min="10246" max="10246" width="17.109375" style="2079" customWidth="1"/>
    <col min="10247" max="10247" width="22.44140625" style="2079" customWidth="1"/>
    <col min="10248" max="10248" width="19.109375" style="2079" customWidth="1"/>
    <col min="10249" max="10249" width="18.6640625" style="2079" customWidth="1"/>
    <col min="10250" max="10250" width="16.6640625" style="2079" customWidth="1"/>
    <col min="10251" max="10251" width="10.88671875" style="2079" bestFit="1" customWidth="1"/>
    <col min="10252" max="10252" width="10.33203125" style="2079" customWidth="1"/>
    <col min="10253" max="10496" width="9.44140625" style="2079"/>
    <col min="10497" max="10497" width="46.6640625" style="2079" customWidth="1"/>
    <col min="10498" max="10498" width="19.88671875" style="2079" customWidth="1"/>
    <col min="10499" max="10499" width="19.5546875" style="2079" customWidth="1"/>
    <col min="10500" max="10500" width="19.6640625" style="2079" customWidth="1"/>
    <col min="10501" max="10501" width="19.44140625" style="2079" customWidth="1"/>
    <col min="10502" max="10502" width="17.109375" style="2079" customWidth="1"/>
    <col min="10503" max="10503" width="22.44140625" style="2079" customWidth="1"/>
    <col min="10504" max="10504" width="19.109375" style="2079" customWidth="1"/>
    <col min="10505" max="10505" width="18.6640625" style="2079" customWidth="1"/>
    <col min="10506" max="10506" width="16.6640625" style="2079" customWidth="1"/>
    <col min="10507" max="10507" width="10.88671875" style="2079" bestFit="1" customWidth="1"/>
    <col min="10508" max="10508" width="10.33203125" style="2079" customWidth="1"/>
    <col min="10509" max="10752" width="9.44140625" style="2079"/>
    <col min="10753" max="10753" width="46.6640625" style="2079" customWidth="1"/>
    <col min="10754" max="10754" width="19.88671875" style="2079" customWidth="1"/>
    <col min="10755" max="10755" width="19.5546875" style="2079" customWidth="1"/>
    <col min="10756" max="10756" width="19.6640625" style="2079" customWidth="1"/>
    <col min="10757" max="10757" width="19.44140625" style="2079" customWidth="1"/>
    <col min="10758" max="10758" width="17.109375" style="2079" customWidth="1"/>
    <col min="10759" max="10759" width="22.44140625" style="2079" customWidth="1"/>
    <col min="10760" max="10760" width="19.109375" style="2079" customWidth="1"/>
    <col min="10761" max="10761" width="18.6640625" style="2079" customWidth="1"/>
    <col min="10762" max="10762" width="16.6640625" style="2079" customWidth="1"/>
    <col min="10763" max="10763" width="10.88671875" style="2079" bestFit="1" customWidth="1"/>
    <col min="10764" max="10764" width="10.33203125" style="2079" customWidth="1"/>
    <col min="10765" max="11008" width="9.44140625" style="2079"/>
    <col min="11009" max="11009" width="46.6640625" style="2079" customWidth="1"/>
    <col min="11010" max="11010" width="19.88671875" style="2079" customWidth="1"/>
    <col min="11011" max="11011" width="19.5546875" style="2079" customWidth="1"/>
    <col min="11012" max="11012" width="19.6640625" style="2079" customWidth="1"/>
    <col min="11013" max="11013" width="19.44140625" style="2079" customWidth="1"/>
    <col min="11014" max="11014" width="17.109375" style="2079" customWidth="1"/>
    <col min="11015" max="11015" width="22.44140625" style="2079" customWidth="1"/>
    <col min="11016" max="11016" width="19.109375" style="2079" customWidth="1"/>
    <col min="11017" max="11017" width="18.6640625" style="2079" customWidth="1"/>
    <col min="11018" max="11018" width="16.6640625" style="2079" customWidth="1"/>
    <col min="11019" max="11019" width="10.88671875" style="2079" bestFit="1" customWidth="1"/>
    <col min="11020" max="11020" width="10.33203125" style="2079" customWidth="1"/>
    <col min="11021" max="11264" width="9.44140625" style="2079"/>
    <col min="11265" max="11265" width="46.6640625" style="2079" customWidth="1"/>
    <col min="11266" max="11266" width="19.88671875" style="2079" customWidth="1"/>
    <col min="11267" max="11267" width="19.5546875" style="2079" customWidth="1"/>
    <col min="11268" max="11268" width="19.6640625" style="2079" customWidth="1"/>
    <col min="11269" max="11269" width="19.44140625" style="2079" customWidth="1"/>
    <col min="11270" max="11270" width="17.109375" style="2079" customWidth="1"/>
    <col min="11271" max="11271" width="22.44140625" style="2079" customWidth="1"/>
    <col min="11272" max="11272" width="19.109375" style="2079" customWidth="1"/>
    <col min="11273" max="11273" width="18.6640625" style="2079" customWidth="1"/>
    <col min="11274" max="11274" width="16.6640625" style="2079" customWidth="1"/>
    <col min="11275" max="11275" width="10.88671875" style="2079" bestFit="1" customWidth="1"/>
    <col min="11276" max="11276" width="10.33203125" style="2079" customWidth="1"/>
    <col min="11277" max="11520" width="9.44140625" style="2079"/>
    <col min="11521" max="11521" width="46.6640625" style="2079" customWidth="1"/>
    <col min="11522" max="11522" width="19.88671875" style="2079" customWidth="1"/>
    <col min="11523" max="11523" width="19.5546875" style="2079" customWidth="1"/>
    <col min="11524" max="11524" width="19.6640625" style="2079" customWidth="1"/>
    <col min="11525" max="11525" width="19.44140625" style="2079" customWidth="1"/>
    <col min="11526" max="11526" width="17.109375" style="2079" customWidth="1"/>
    <col min="11527" max="11527" width="22.44140625" style="2079" customWidth="1"/>
    <col min="11528" max="11528" width="19.109375" style="2079" customWidth="1"/>
    <col min="11529" max="11529" width="18.6640625" style="2079" customWidth="1"/>
    <col min="11530" max="11530" width="16.6640625" style="2079" customWidth="1"/>
    <col min="11531" max="11531" width="10.88671875" style="2079" bestFit="1" customWidth="1"/>
    <col min="11532" max="11532" width="10.33203125" style="2079" customWidth="1"/>
    <col min="11533" max="11776" width="9.44140625" style="2079"/>
    <col min="11777" max="11777" width="46.6640625" style="2079" customWidth="1"/>
    <col min="11778" max="11778" width="19.88671875" style="2079" customWidth="1"/>
    <col min="11779" max="11779" width="19.5546875" style="2079" customWidth="1"/>
    <col min="11780" max="11780" width="19.6640625" style="2079" customWidth="1"/>
    <col min="11781" max="11781" width="19.44140625" style="2079" customWidth="1"/>
    <col min="11782" max="11782" width="17.109375" style="2079" customWidth="1"/>
    <col min="11783" max="11783" width="22.44140625" style="2079" customWidth="1"/>
    <col min="11784" max="11784" width="19.109375" style="2079" customWidth="1"/>
    <col min="11785" max="11785" width="18.6640625" style="2079" customWidth="1"/>
    <col min="11786" max="11786" width="16.6640625" style="2079" customWidth="1"/>
    <col min="11787" max="11787" width="10.88671875" style="2079" bestFit="1" customWidth="1"/>
    <col min="11788" max="11788" width="10.33203125" style="2079" customWidth="1"/>
    <col min="11789" max="12032" width="9.44140625" style="2079"/>
    <col min="12033" max="12033" width="46.6640625" style="2079" customWidth="1"/>
    <col min="12034" max="12034" width="19.88671875" style="2079" customWidth="1"/>
    <col min="12035" max="12035" width="19.5546875" style="2079" customWidth="1"/>
    <col min="12036" max="12036" width="19.6640625" style="2079" customWidth="1"/>
    <col min="12037" max="12037" width="19.44140625" style="2079" customWidth="1"/>
    <col min="12038" max="12038" width="17.109375" style="2079" customWidth="1"/>
    <col min="12039" max="12039" width="22.44140625" style="2079" customWidth="1"/>
    <col min="12040" max="12040" width="19.109375" style="2079" customWidth="1"/>
    <col min="12041" max="12041" width="18.6640625" style="2079" customWidth="1"/>
    <col min="12042" max="12042" width="16.6640625" style="2079" customWidth="1"/>
    <col min="12043" max="12043" width="10.88671875" style="2079" bestFit="1" customWidth="1"/>
    <col min="12044" max="12044" width="10.33203125" style="2079" customWidth="1"/>
    <col min="12045" max="12288" width="9.44140625" style="2079"/>
    <col min="12289" max="12289" width="46.6640625" style="2079" customWidth="1"/>
    <col min="12290" max="12290" width="19.88671875" style="2079" customWidth="1"/>
    <col min="12291" max="12291" width="19.5546875" style="2079" customWidth="1"/>
    <col min="12292" max="12292" width="19.6640625" style="2079" customWidth="1"/>
    <col min="12293" max="12293" width="19.44140625" style="2079" customWidth="1"/>
    <col min="12294" max="12294" width="17.109375" style="2079" customWidth="1"/>
    <col min="12295" max="12295" width="22.44140625" style="2079" customWidth="1"/>
    <col min="12296" max="12296" width="19.109375" style="2079" customWidth="1"/>
    <col min="12297" max="12297" width="18.6640625" style="2079" customWidth="1"/>
    <col min="12298" max="12298" width="16.6640625" style="2079" customWidth="1"/>
    <col min="12299" max="12299" width="10.88671875" style="2079" bestFit="1" customWidth="1"/>
    <col min="12300" max="12300" width="10.33203125" style="2079" customWidth="1"/>
    <col min="12301" max="12544" width="9.44140625" style="2079"/>
    <col min="12545" max="12545" width="46.6640625" style="2079" customWidth="1"/>
    <col min="12546" max="12546" width="19.88671875" style="2079" customWidth="1"/>
    <col min="12547" max="12547" width="19.5546875" style="2079" customWidth="1"/>
    <col min="12548" max="12548" width="19.6640625" style="2079" customWidth="1"/>
    <col min="12549" max="12549" width="19.44140625" style="2079" customWidth="1"/>
    <col min="12550" max="12550" width="17.109375" style="2079" customWidth="1"/>
    <col min="12551" max="12551" width="22.44140625" style="2079" customWidth="1"/>
    <col min="12552" max="12552" width="19.109375" style="2079" customWidth="1"/>
    <col min="12553" max="12553" width="18.6640625" style="2079" customWidth="1"/>
    <col min="12554" max="12554" width="16.6640625" style="2079" customWidth="1"/>
    <col min="12555" max="12555" width="10.88671875" style="2079" bestFit="1" customWidth="1"/>
    <col min="12556" max="12556" width="10.33203125" style="2079" customWidth="1"/>
    <col min="12557" max="12800" width="9.44140625" style="2079"/>
    <col min="12801" max="12801" width="46.6640625" style="2079" customWidth="1"/>
    <col min="12802" max="12802" width="19.88671875" style="2079" customWidth="1"/>
    <col min="12803" max="12803" width="19.5546875" style="2079" customWidth="1"/>
    <col min="12804" max="12804" width="19.6640625" style="2079" customWidth="1"/>
    <col min="12805" max="12805" width="19.44140625" style="2079" customWidth="1"/>
    <col min="12806" max="12806" width="17.109375" style="2079" customWidth="1"/>
    <col min="12807" max="12807" width="22.44140625" style="2079" customWidth="1"/>
    <col min="12808" max="12808" width="19.109375" style="2079" customWidth="1"/>
    <col min="12809" max="12809" width="18.6640625" style="2079" customWidth="1"/>
    <col min="12810" max="12810" width="16.6640625" style="2079" customWidth="1"/>
    <col min="12811" max="12811" width="10.88671875" style="2079" bestFit="1" customWidth="1"/>
    <col min="12812" max="12812" width="10.33203125" style="2079" customWidth="1"/>
    <col min="12813" max="13056" width="9.44140625" style="2079"/>
    <col min="13057" max="13057" width="46.6640625" style="2079" customWidth="1"/>
    <col min="13058" max="13058" width="19.88671875" style="2079" customWidth="1"/>
    <col min="13059" max="13059" width="19.5546875" style="2079" customWidth="1"/>
    <col min="13060" max="13060" width="19.6640625" style="2079" customWidth="1"/>
    <col min="13061" max="13061" width="19.44140625" style="2079" customWidth="1"/>
    <col min="13062" max="13062" width="17.109375" style="2079" customWidth="1"/>
    <col min="13063" max="13063" width="22.44140625" style="2079" customWidth="1"/>
    <col min="13064" max="13064" width="19.109375" style="2079" customWidth="1"/>
    <col min="13065" max="13065" width="18.6640625" style="2079" customWidth="1"/>
    <col min="13066" max="13066" width="16.6640625" style="2079" customWidth="1"/>
    <col min="13067" max="13067" width="10.88671875" style="2079" bestFit="1" customWidth="1"/>
    <col min="13068" max="13068" width="10.33203125" style="2079" customWidth="1"/>
    <col min="13069" max="13312" width="9.44140625" style="2079"/>
    <col min="13313" max="13313" width="46.6640625" style="2079" customWidth="1"/>
    <col min="13314" max="13314" width="19.88671875" style="2079" customWidth="1"/>
    <col min="13315" max="13315" width="19.5546875" style="2079" customWidth="1"/>
    <col min="13316" max="13316" width="19.6640625" style="2079" customWidth="1"/>
    <col min="13317" max="13317" width="19.44140625" style="2079" customWidth="1"/>
    <col min="13318" max="13318" width="17.109375" style="2079" customWidth="1"/>
    <col min="13319" max="13319" width="22.44140625" style="2079" customWidth="1"/>
    <col min="13320" max="13320" width="19.109375" style="2079" customWidth="1"/>
    <col min="13321" max="13321" width="18.6640625" style="2079" customWidth="1"/>
    <col min="13322" max="13322" width="16.6640625" style="2079" customWidth="1"/>
    <col min="13323" max="13323" width="10.88671875" style="2079" bestFit="1" customWidth="1"/>
    <col min="13324" max="13324" width="10.33203125" style="2079" customWidth="1"/>
    <col min="13325" max="13568" width="9.44140625" style="2079"/>
    <col min="13569" max="13569" width="46.6640625" style="2079" customWidth="1"/>
    <col min="13570" max="13570" width="19.88671875" style="2079" customWidth="1"/>
    <col min="13571" max="13571" width="19.5546875" style="2079" customWidth="1"/>
    <col min="13572" max="13572" width="19.6640625" style="2079" customWidth="1"/>
    <col min="13573" max="13573" width="19.44140625" style="2079" customWidth="1"/>
    <col min="13574" max="13574" width="17.109375" style="2079" customWidth="1"/>
    <col min="13575" max="13575" width="22.44140625" style="2079" customWidth="1"/>
    <col min="13576" max="13576" width="19.109375" style="2079" customWidth="1"/>
    <col min="13577" max="13577" width="18.6640625" style="2079" customWidth="1"/>
    <col min="13578" max="13578" width="16.6640625" style="2079" customWidth="1"/>
    <col min="13579" max="13579" width="10.88671875" style="2079" bestFit="1" customWidth="1"/>
    <col min="13580" max="13580" width="10.33203125" style="2079" customWidth="1"/>
    <col min="13581" max="13824" width="9.44140625" style="2079"/>
    <col min="13825" max="13825" width="46.6640625" style="2079" customWidth="1"/>
    <col min="13826" max="13826" width="19.88671875" style="2079" customWidth="1"/>
    <col min="13827" max="13827" width="19.5546875" style="2079" customWidth="1"/>
    <col min="13828" max="13828" width="19.6640625" style="2079" customWidth="1"/>
    <col min="13829" max="13829" width="19.44140625" style="2079" customWidth="1"/>
    <col min="13830" max="13830" width="17.109375" style="2079" customWidth="1"/>
    <col min="13831" max="13831" width="22.44140625" style="2079" customWidth="1"/>
    <col min="13832" max="13832" width="19.109375" style="2079" customWidth="1"/>
    <col min="13833" max="13833" width="18.6640625" style="2079" customWidth="1"/>
    <col min="13834" max="13834" width="16.6640625" style="2079" customWidth="1"/>
    <col min="13835" max="13835" width="10.88671875" style="2079" bestFit="1" customWidth="1"/>
    <col min="13836" max="13836" width="10.33203125" style="2079" customWidth="1"/>
    <col min="13837" max="14080" width="9.44140625" style="2079"/>
    <col min="14081" max="14081" width="46.6640625" style="2079" customWidth="1"/>
    <col min="14082" max="14082" width="19.88671875" style="2079" customWidth="1"/>
    <col min="14083" max="14083" width="19.5546875" style="2079" customWidth="1"/>
    <col min="14084" max="14084" width="19.6640625" style="2079" customWidth="1"/>
    <col min="14085" max="14085" width="19.44140625" style="2079" customWidth="1"/>
    <col min="14086" max="14086" width="17.109375" style="2079" customWidth="1"/>
    <col min="14087" max="14087" width="22.44140625" style="2079" customWidth="1"/>
    <col min="14088" max="14088" width="19.109375" style="2079" customWidth="1"/>
    <col min="14089" max="14089" width="18.6640625" style="2079" customWidth="1"/>
    <col min="14090" max="14090" width="16.6640625" style="2079" customWidth="1"/>
    <col min="14091" max="14091" width="10.88671875" style="2079" bestFit="1" customWidth="1"/>
    <col min="14092" max="14092" width="10.33203125" style="2079" customWidth="1"/>
    <col min="14093" max="14336" width="9.44140625" style="2079"/>
    <col min="14337" max="14337" width="46.6640625" style="2079" customWidth="1"/>
    <col min="14338" max="14338" width="19.88671875" style="2079" customWidth="1"/>
    <col min="14339" max="14339" width="19.5546875" style="2079" customWidth="1"/>
    <col min="14340" max="14340" width="19.6640625" style="2079" customWidth="1"/>
    <col min="14341" max="14341" width="19.44140625" style="2079" customWidth="1"/>
    <col min="14342" max="14342" width="17.109375" style="2079" customWidth="1"/>
    <col min="14343" max="14343" width="22.44140625" style="2079" customWidth="1"/>
    <col min="14344" max="14344" width="19.109375" style="2079" customWidth="1"/>
    <col min="14345" max="14345" width="18.6640625" style="2079" customWidth="1"/>
    <col min="14346" max="14346" width="16.6640625" style="2079" customWidth="1"/>
    <col min="14347" max="14347" width="10.88671875" style="2079" bestFit="1" customWidth="1"/>
    <col min="14348" max="14348" width="10.33203125" style="2079" customWidth="1"/>
    <col min="14349" max="14592" width="9.44140625" style="2079"/>
    <col min="14593" max="14593" width="46.6640625" style="2079" customWidth="1"/>
    <col min="14594" max="14594" width="19.88671875" style="2079" customWidth="1"/>
    <col min="14595" max="14595" width="19.5546875" style="2079" customWidth="1"/>
    <col min="14596" max="14596" width="19.6640625" style="2079" customWidth="1"/>
    <col min="14597" max="14597" width="19.44140625" style="2079" customWidth="1"/>
    <col min="14598" max="14598" width="17.109375" style="2079" customWidth="1"/>
    <col min="14599" max="14599" width="22.44140625" style="2079" customWidth="1"/>
    <col min="14600" max="14600" width="19.109375" style="2079" customWidth="1"/>
    <col min="14601" max="14601" width="18.6640625" style="2079" customWidth="1"/>
    <col min="14602" max="14602" width="16.6640625" style="2079" customWidth="1"/>
    <col min="14603" max="14603" width="10.88671875" style="2079" bestFit="1" customWidth="1"/>
    <col min="14604" max="14604" width="10.33203125" style="2079" customWidth="1"/>
    <col min="14605" max="14848" width="9.44140625" style="2079"/>
    <col min="14849" max="14849" width="46.6640625" style="2079" customWidth="1"/>
    <col min="14850" max="14850" width="19.88671875" style="2079" customWidth="1"/>
    <col min="14851" max="14851" width="19.5546875" style="2079" customWidth="1"/>
    <col min="14852" max="14852" width="19.6640625" style="2079" customWidth="1"/>
    <col min="14853" max="14853" width="19.44140625" style="2079" customWidth="1"/>
    <col min="14854" max="14854" width="17.109375" style="2079" customWidth="1"/>
    <col min="14855" max="14855" width="22.44140625" style="2079" customWidth="1"/>
    <col min="14856" max="14856" width="19.109375" style="2079" customWidth="1"/>
    <col min="14857" max="14857" width="18.6640625" style="2079" customWidth="1"/>
    <col min="14858" max="14858" width="16.6640625" style="2079" customWidth="1"/>
    <col min="14859" max="14859" width="10.88671875" style="2079" bestFit="1" customWidth="1"/>
    <col min="14860" max="14860" width="10.33203125" style="2079" customWidth="1"/>
    <col min="14861" max="15104" width="9.44140625" style="2079"/>
    <col min="15105" max="15105" width="46.6640625" style="2079" customWidth="1"/>
    <col min="15106" max="15106" width="19.88671875" style="2079" customWidth="1"/>
    <col min="15107" max="15107" width="19.5546875" style="2079" customWidth="1"/>
    <col min="15108" max="15108" width="19.6640625" style="2079" customWidth="1"/>
    <col min="15109" max="15109" width="19.44140625" style="2079" customWidth="1"/>
    <col min="15110" max="15110" width="17.109375" style="2079" customWidth="1"/>
    <col min="15111" max="15111" width="22.44140625" style="2079" customWidth="1"/>
    <col min="15112" max="15112" width="19.109375" style="2079" customWidth="1"/>
    <col min="15113" max="15113" width="18.6640625" style="2079" customWidth="1"/>
    <col min="15114" max="15114" width="16.6640625" style="2079" customWidth="1"/>
    <col min="15115" max="15115" width="10.88671875" style="2079" bestFit="1" customWidth="1"/>
    <col min="15116" max="15116" width="10.33203125" style="2079" customWidth="1"/>
    <col min="15117" max="15360" width="9.44140625" style="2079"/>
    <col min="15361" max="15361" width="46.6640625" style="2079" customWidth="1"/>
    <col min="15362" max="15362" width="19.88671875" style="2079" customWidth="1"/>
    <col min="15363" max="15363" width="19.5546875" style="2079" customWidth="1"/>
    <col min="15364" max="15364" width="19.6640625" style="2079" customWidth="1"/>
    <col min="15365" max="15365" width="19.44140625" style="2079" customWidth="1"/>
    <col min="15366" max="15366" width="17.109375" style="2079" customWidth="1"/>
    <col min="15367" max="15367" width="22.44140625" style="2079" customWidth="1"/>
    <col min="15368" max="15368" width="19.109375" style="2079" customWidth="1"/>
    <col min="15369" max="15369" width="18.6640625" style="2079" customWidth="1"/>
    <col min="15370" max="15370" width="16.6640625" style="2079" customWidth="1"/>
    <col min="15371" max="15371" width="10.88671875" style="2079" bestFit="1" customWidth="1"/>
    <col min="15372" max="15372" width="10.33203125" style="2079" customWidth="1"/>
    <col min="15373" max="15616" width="9.44140625" style="2079"/>
    <col min="15617" max="15617" width="46.6640625" style="2079" customWidth="1"/>
    <col min="15618" max="15618" width="19.88671875" style="2079" customWidth="1"/>
    <col min="15619" max="15619" width="19.5546875" style="2079" customWidth="1"/>
    <col min="15620" max="15620" width="19.6640625" style="2079" customWidth="1"/>
    <col min="15621" max="15621" width="19.44140625" style="2079" customWidth="1"/>
    <col min="15622" max="15622" width="17.109375" style="2079" customWidth="1"/>
    <col min="15623" max="15623" width="22.44140625" style="2079" customWidth="1"/>
    <col min="15624" max="15624" width="19.109375" style="2079" customWidth="1"/>
    <col min="15625" max="15625" width="18.6640625" style="2079" customWidth="1"/>
    <col min="15626" max="15626" width="16.6640625" style="2079" customWidth="1"/>
    <col min="15627" max="15627" width="10.88671875" style="2079" bestFit="1" customWidth="1"/>
    <col min="15628" max="15628" width="10.33203125" style="2079" customWidth="1"/>
    <col min="15629" max="15872" width="9.44140625" style="2079"/>
    <col min="15873" max="15873" width="46.6640625" style="2079" customWidth="1"/>
    <col min="15874" max="15874" width="19.88671875" style="2079" customWidth="1"/>
    <col min="15875" max="15875" width="19.5546875" style="2079" customWidth="1"/>
    <col min="15876" max="15876" width="19.6640625" style="2079" customWidth="1"/>
    <col min="15877" max="15877" width="19.44140625" style="2079" customWidth="1"/>
    <col min="15878" max="15878" width="17.109375" style="2079" customWidth="1"/>
    <col min="15879" max="15879" width="22.44140625" style="2079" customWidth="1"/>
    <col min="15880" max="15880" width="19.109375" style="2079" customWidth="1"/>
    <col min="15881" max="15881" width="18.6640625" style="2079" customWidth="1"/>
    <col min="15882" max="15882" width="16.6640625" style="2079" customWidth="1"/>
    <col min="15883" max="15883" width="10.88671875" style="2079" bestFit="1" customWidth="1"/>
    <col min="15884" max="15884" width="10.33203125" style="2079" customWidth="1"/>
    <col min="15885" max="16128" width="9.44140625" style="2079"/>
    <col min="16129" max="16129" width="46.6640625" style="2079" customWidth="1"/>
    <col min="16130" max="16130" width="19.88671875" style="2079" customWidth="1"/>
    <col min="16131" max="16131" width="19.5546875" style="2079" customWidth="1"/>
    <col min="16132" max="16132" width="19.6640625" style="2079" customWidth="1"/>
    <col min="16133" max="16133" width="19.44140625" style="2079" customWidth="1"/>
    <col min="16134" max="16134" width="17.109375" style="2079" customWidth="1"/>
    <col min="16135" max="16135" width="22.44140625" style="2079" customWidth="1"/>
    <col min="16136" max="16136" width="19.109375" style="2079" customWidth="1"/>
    <col min="16137" max="16137" width="18.6640625" style="2079" customWidth="1"/>
    <col min="16138" max="16138" width="16.6640625" style="2079" customWidth="1"/>
    <col min="16139" max="16139" width="10.88671875" style="2079" bestFit="1" customWidth="1"/>
    <col min="16140" max="16140" width="10.33203125" style="2079" customWidth="1"/>
    <col min="16141" max="16384" width="9.44140625" style="2079"/>
  </cols>
  <sheetData>
    <row r="1" spans="1:11" s="2075" customFormat="1" ht="79.8" customHeight="1" x14ac:dyDescent="0.3">
      <c r="A1" s="2072"/>
      <c r="B1" s="2073"/>
      <c r="C1" s="2074"/>
      <c r="H1" s="2076" t="s">
        <v>2117</v>
      </c>
      <c r="I1" s="2076"/>
    </row>
    <row r="2" spans="1:11" s="2075" customFormat="1" ht="36" customHeight="1" x14ac:dyDescent="0.3">
      <c r="A2" s="2072"/>
      <c r="B2" s="2073"/>
      <c r="C2" s="2074"/>
      <c r="H2" s="2077"/>
      <c r="I2" s="2077"/>
    </row>
    <row r="3" spans="1:11" ht="60" customHeight="1" x14ac:dyDescent="0.25">
      <c r="A3" s="2078" t="s">
        <v>2118</v>
      </c>
      <c r="B3" s="2078"/>
      <c r="C3" s="2078"/>
      <c r="D3" s="2078"/>
      <c r="E3" s="2078"/>
      <c r="F3" s="2078"/>
      <c r="G3" s="2078"/>
      <c r="H3" s="2078"/>
      <c r="I3" s="2078"/>
    </row>
    <row r="4" spans="1:11" ht="15" customHeight="1" x14ac:dyDescent="0.25">
      <c r="A4" s="2080"/>
      <c r="B4" s="2080"/>
      <c r="C4" s="2080"/>
      <c r="D4" s="2080"/>
      <c r="G4" s="2080"/>
      <c r="H4" s="2080"/>
      <c r="I4" s="2082" t="s">
        <v>2119</v>
      </c>
    </row>
    <row r="5" spans="1:11" ht="40.200000000000003" customHeight="1" x14ac:dyDescent="0.25">
      <c r="A5" s="2083" t="s">
        <v>2120</v>
      </c>
      <c r="B5" s="2084" t="s">
        <v>2121</v>
      </c>
      <c r="C5" s="2084" t="s">
        <v>2122</v>
      </c>
      <c r="D5" s="2084" t="s">
        <v>2123</v>
      </c>
      <c r="E5" s="2085" t="s">
        <v>2124</v>
      </c>
      <c r="F5" s="2086" t="s">
        <v>2125</v>
      </c>
      <c r="G5" s="2084" t="s">
        <v>2126</v>
      </c>
      <c r="H5" s="2084" t="s">
        <v>2127</v>
      </c>
      <c r="I5" s="2084" t="s">
        <v>2128</v>
      </c>
    </row>
    <row r="6" spans="1:11" ht="87" customHeight="1" x14ac:dyDescent="0.25">
      <c r="A6" s="2083"/>
      <c r="B6" s="2084"/>
      <c r="C6" s="2084"/>
      <c r="D6" s="2084"/>
      <c r="E6" s="2085"/>
      <c r="F6" s="2087"/>
      <c r="G6" s="2084"/>
      <c r="H6" s="2084"/>
      <c r="I6" s="2084"/>
    </row>
    <row r="7" spans="1:11" s="2089" customFormat="1" ht="19.2" x14ac:dyDescent="0.35">
      <c r="A7" s="2088" t="s">
        <v>2129</v>
      </c>
      <c r="B7" s="2088"/>
      <c r="C7" s="2088"/>
      <c r="D7" s="2088"/>
      <c r="E7" s="2088"/>
      <c r="F7" s="2088"/>
      <c r="G7" s="2088"/>
      <c r="H7" s="2088"/>
      <c r="I7" s="2088"/>
    </row>
    <row r="8" spans="1:11" s="2096" customFormat="1" ht="17.399999999999999" customHeight="1" x14ac:dyDescent="0.35">
      <c r="A8" s="2090" t="s">
        <v>2130</v>
      </c>
      <c r="B8" s="2091">
        <v>3586748.6</v>
      </c>
      <c r="C8" s="2091">
        <v>3736931.5</v>
      </c>
      <c r="D8" s="2091">
        <v>2360508</v>
      </c>
      <c r="E8" s="2091">
        <f>3680275.8+20615+163107.5+143523.3+6199.1</f>
        <v>4013720.6999999997</v>
      </c>
      <c r="F8" s="2092"/>
      <c r="G8" s="2091">
        <f>E8+F8</f>
        <v>4013720.6999999997</v>
      </c>
      <c r="H8" s="2091"/>
      <c r="I8" s="2093">
        <f>G8</f>
        <v>4013720.6999999997</v>
      </c>
      <c r="J8" s="2094"/>
      <c r="K8" s="2095"/>
    </row>
    <row r="9" spans="1:11" s="2096" customFormat="1" ht="36" x14ac:dyDescent="0.35">
      <c r="A9" s="2097" t="s">
        <v>663</v>
      </c>
      <c r="B9" s="2091">
        <v>0</v>
      </c>
      <c r="C9" s="2091">
        <v>29464</v>
      </c>
      <c r="D9" s="2091">
        <v>16862</v>
      </c>
      <c r="E9" s="2091">
        <v>0</v>
      </c>
      <c r="F9" s="2092"/>
      <c r="G9" s="2091">
        <f>E9+F9</f>
        <v>0</v>
      </c>
      <c r="H9" s="2091"/>
      <c r="I9" s="2093">
        <f>G9</f>
        <v>0</v>
      </c>
      <c r="J9" s="2094"/>
    </row>
    <row r="10" spans="1:11" s="2096" customFormat="1" ht="54" x14ac:dyDescent="0.35">
      <c r="A10" s="2098" t="s">
        <v>2131</v>
      </c>
      <c r="B10" s="2099">
        <f>B8+B9</f>
        <v>3586748.6</v>
      </c>
      <c r="C10" s="2099">
        <f t="shared" ref="C10:I10" si="0">C8+C9</f>
        <v>3766395.5</v>
      </c>
      <c r="D10" s="2099">
        <f t="shared" si="0"/>
        <v>2377370</v>
      </c>
      <c r="E10" s="2099">
        <f t="shared" si="0"/>
        <v>4013720.6999999997</v>
      </c>
      <c r="F10" s="2099">
        <f t="shared" si="0"/>
        <v>0</v>
      </c>
      <c r="G10" s="2099">
        <f t="shared" si="0"/>
        <v>4013720.6999999997</v>
      </c>
      <c r="H10" s="2099">
        <f t="shared" si="0"/>
        <v>0</v>
      </c>
      <c r="I10" s="2099">
        <f t="shared" si="0"/>
        <v>4013720.6999999997</v>
      </c>
      <c r="J10" s="2094"/>
    </row>
    <row r="11" spans="1:11" s="2103" customFormat="1" ht="6" customHeight="1" x14ac:dyDescent="0.35">
      <c r="A11" s="2100"/>
      <c r="B11" s="2101"/>
      <c r="C11" s="2101"/>
      <c r="D11" s="2101"/>
      <c r="E11" s="2101"/>
      <c r="F11" s="2101"/>
      <c r="G11" s="2101"/>
      <c r="H11" s="2101"/>
      <c r="I11" s="2101"/>
      <c r="J11" s="2102"/>
    </row>
    <row r="12" spans="1:11" s="2089" customFormat="1" ht="19.2" x14ac:dyDescent="0.35">
      <c r="A12" s="2104" t="s">
        <v>2132</v>
      </c>
      <c r="B12" s="2104"/>
      <c r="C12" s="2104"/>
      <c r="D12" s="2104"/>
      <c r="E12" s="2104"/>
      <c r="F12" s="2104"/>
      <c r="G12" s="2104"/>
      <c r="H12" s="2104"/>
      <c r="I12" s="2104"/>
      <c r="J12" s="2094"/>
    </row>
    <row r="13" spans="1:11" s="2096" customFormat="1" ht="18" x14ac:dyDescent="0.35">
      <c r="A13" s="2097" t="s">
        <v>260</v>
      </c>
      <c r="B13" s="2105">
        <v>363612.5</v>
      </c>
      <c r="C13" s="2105">
        <v>389188.3</v>
      </c>
      <c r="D13" s="2105">
        <v>244281.15976000001</v>
      </c>
      <c r="E13" s="2105">
        <v>398560.6</v>
      </c>
      <c r="F13" s="2105">
        <v>19955.2</v>
      </c>
      <c r="G13" s="2105">
        <f>E13+F13</f>
        <v>418515.8</v>
      </c>
      <c r="H13" s="2105">
        <v>510872.6</v>
      </c>
      <c r="I13" s="2093">
        <f>G13</f>
        <v>418515.8</v>
      </c>
      <c r="J13" s="2094"/>
    </row>
    <row r="14" spans="1:11" s="2096" customFormat="1" ht="36" hidden="1" x14ac:dyDescent="0.35">
      <c r="A14" s="2106" t="s">
        <v>2133</v>
      </c>
      <c r="B14" s="2107"/>
      <c r="C14" s="2107"/>
      <c r="D14" s="2107"/>
      <c r="E14" s="2107"/>
      <c r="F14" s="2107"/>
      <c r="G14" s="2105">
        <f t="shared" ref="G14:G77" si="1">E14+F14</f>
        <v>0</v>
      </c>
      <c r="H14" s="2107"/>
      <c r="I14" s="2108"/>
      <c r="J14" s="2094"/>
    </row>
    <row r="15" spans="1:11" s="2096" customFormat="1" ht="72" hidden="1" x14ac:dyDescent="0.35">
      <c r="A15" s="2097" t="s">
        <v>2134</v>
      </c>
      <c r="B15" s="2107"/>
      <c r="C15" s="2105"/>
      <c r="D15" s="2105"/>
      <c r="E15" s="2105"/>
      <c r="F15" s="2105"/>
      <c r="G15" s="2105">
        <f t="shared" si="1"/>
        <v>0</v>
      </c>
      <c r="H15" s="2105"/>
      <c r="I15" s="2093"/>
      <c r="J15" s="2094"/>
    </row>
    <row r="16" spans="1:11" s="2096" customFormat="1" ht="72" hidden="1" x14ac:dyDescent="0.35">
      <c r="A16" s="2097" t="s">
        <v>2135</v>
      </c>
      <c r="B16" s="2107"/>
      <c r="C16" s="2105"/>
      <c r="D16" s="2105"/>
      <c r="E16" s="2105"/>
      <c r="F16" s="2105"/>
      <c r="G16" s="2105">
        <f t="shared" si="1"/>
        <v>0</v>
      </c>
      <c r="H16" s="2105"/>
      <c r="I16" s="2109"/>
      <c r="J16" s="2094"/>
    </row>
    <row r="17" spans="1:11" s="2096" customFormat="1" ht="36" hidden="1" x14ac:dyDescent="0.35">
      <c r="A17" s="2097" t="s">
        <v>2136</v>
      </c>
      <c r="B17" s="2107"/>
      <c r="C17" s="2105"/>
      <c r="D17" s="2105"/>
      <c r="E17" s="2105"/>
      <c r="F17" s="2105"/>
      <c r="G17" s="2105">
        <f t="shared" si="1"/>
        <v>0</v>
      </c>
      <c r="H17" s="2105"/>
      <c r="I17" s="2093"/>
      <c r="J17" s="2094"/>
    </row>
    <row r="18" spans="1:11" s="2096" customFormat="1" ht="18" hidden="1" x14ac:dyDescent="0.35">
      <c r="A18" s="2106" t="s">
        <v>2137</v>
      </c>
      <c r="B18" s="2107"/>
      <c r="C18" s="2107"/>
      <c r="D18" s="2107"/>
      <c r="E18" s="2107"/>
      <c r="F18" s="2107"/>
      <c r="G18" s="2105">
        <f t="shared" si="1"/>
        <v>0</v>
      </c>
      <c r="H18" s="2107"/>
      <c r="I18" s="2108"/>
      <c r="J18" s="2094"/>
    </row>
    <row r="19" spans="1:11" s="2096" customFormat="1" ht="72" hidden="1" x14ac:dyDescent="0.35">
      <c r="A19" s="2097" t="s">
        <v>2138</v>
      </c>
      <c r="B19" s="2105"/>
      <c r="C19" s="2105"/>
      <c r="D19" s="2105"/>
      <c r="E19" s="2105"/>
      <c r="F19" s="2105"/>
      <c r="G19" s="2105">
        <f t="shared" si="1"/>
        <v>0</v>
      </c>
      <c r="H19" s="2105"/>
      <c r="I19" s="2109"/>
      <c r="J19" s="2094"/>
    </row>
    <row r="20" spans="1:11" s="2096" customFormat="1" ht="54" hidden="1" x14ac:dyDescent="0.35">
      <c r="A20" s="2097" t="s">
        <v>2139</v>
      </c>
      <c r="B20" s="2105"/>
      <c r="C20" s="2105"/>
      <c r="D20" s="2105"/>
      <c r="E20" s="2105"/>
      <c r="F20" s="2105"/>
      <c r="G20" s="2105">
        <f t="shared" si="1"/>
        <v>0</v>
      </c>
      <c r="H20" s="2105"/>
      <c r="I20" s="2109"/>
      <c r="J20" s="2094"/>
    </row>
    <row r="21" spans="1:11" s="2096" customFormat="1" ht="54" hidden="1" x14ac:dyDescent="0.35">
      <c r="A21" s="2097" t="s">
        <v>2140</v>
      </c>
      <c r="B21" s="2105"/>
      <c r="C21" s="2105"/>
      <c r="D21" s="2105"/>
      <c r="E21" s="2105"/>
      <c r="F21" s="2105"/>
      <c r="G21" s="2105">
        <f t="shared" si="1"/>
        <v>0</v>
      </c>
      <c r="H21" s="2105"/>
      <c r="I21" s="2109"/>
      <c r="J21" s="2094"/>
    </row>
    <row r="22" spans="1:11" s="2096" customFormat="1" ht="60.6" hidden="1" customHeight="1" x14ac:dyDescent="0.35">
      <c r="A22" s="2097" t="s">
        <v>2141</v>
      </c>
      <c r="B22" s="2105"/>
      <c r="C22" s="2105"/>
      <c r="D22" s="2105"/>
      <c r="E22" s="2105"/>
      <c r="F22" s="2105"/>
      <c r="G22" s="2105">
        <f t="shared" si="1"/>
        <v>0</v>
      </c>
      <c r="H22" s="2105"/>
      <c r="I22" s="2109"/>
      <c r="J22" s="2094"/>
    </row>
    <row r="23" spans="1:11" s="2096" customFormat="1" ht="18" hidden="1" x14ac:dyDescent="0.35">
      <c r="A23" s="2097"/>
      <c r="B23" s="2110"/>
      <c r="C23" s="2111"/>
      <c r="D23" s="2111"/>
      <c r="E23" s="2111"/>
      <c r="F23" s="2105"/>
      <c r="G23" s="2105">
        <f t="shared" si="1"/>
        <v>0</v>
      </c>
      <c r="H23" s="2105"/>
      <c r="I23" s="2093"/>
      <c r="J23" s="2094"/>
    </row>
    <row r="24" spans="1:11" s="2096" customFormat="1" ht="18" hidden="1" x14ac:dyDescent="0.35">
      <c r="A24" s="2097"/>
      <c r="B24" s="2110"/>
      <c r="C24" s="2111"/>
      <c r="D24" s="2111"/>
      <c r="E24" s="2111"/>
      <c r="F24" s="2105"/>
      <c r="G24" s="2105">
        <f t="shared" si="1"/>
        <v>0</v>
      </c>
      <c r="H24" s="2105"/>
      <c r="I24" s="2093"/>
      <c r="J24" s="2094"/>
    </row>
    <row r="25" spans="1:11" s="2096" customFormat="1" ht="18" hidden="1" x14ac:dyDescent="0.35">
      <c r="A25" s="2097"/>
      <c r="B25" s="2110"/>
      <c r="C25" s="2111"/>
      <c r="D25" s="2111"/>
      <c r="E25" s="2111"/>
      <c r="F25" s="2105"/>
      <c r="G25" s="2105">
        <f t="shared" si="1"/>
        <v>0</v>
      </c>
      <c r="H25" s="2105"/>
      <c r="I25" s="2093"/>
      <c r="J25" s="2094"/>
    </row>
    <row r="26" spans="1:11" s="2096" customFormat="1" ht="18" hidden="1" x14ac:dyDescent="0.35">
      <c r="A26" s="2097"/>
      <c r="B26" s="2110"/>
      <c r="C26" s="2111"/>
      <c r="D26" s="2111"/>
      <c r="E26" s="2111"/>
      <c r="F26" s="2105"/>
      <c r="G26" s="2105">
        <f t="shared" si="1"/>
        <v>0</v>
      </c>
      <c r="H26" s="2105"/>
      <c r="I26" s="2093"/>
      <c r="J26" s="2094"/>
    </row>
    <row r="27" spans="1:11" s="2096" customFormat="1" ht="18" hidden="1" x14ac:dyDescent="0.35">
      <c r="A27" s="2097"/>
      <c r="B27" s="2110"/>
      <c r="C27" s="2111"/>
      <c r="D27" s="2111"/>
      <c r="E27" s="2111"/>
      <c r="F27" s="2105"/>
      <c r="G27" s="2105">
        <f t="shared" si="1"/>
        <v>0</v>
      </c>
      <c r="H27" s="2105"/>
      <c r="I27" s="2093"/>
      <c r="J27" s="2094"/>
    </row>
    <row r="28" spans="1:11" s="2096" customFormat="1" ht="18" hidden="1" x14ac:dyDescent="0.35">
      <c r="A28" s="2097"/>
      <c r="B28" s="2110"/>
      <c r="C28" s="2111"/>
      <c r="D28" s="2111"/>
      <c r="E28" s="2111"/>
      <c r="F28" s="2105"/>
      <c r="G28" s="2105">
        <f t="shared" si="1"/>
        <v>0</v>
      </c>
      <c r="H28" s="2105"/>
      <c r="I28" s="2093"/>
      <c r="J28" s="2094"/>
    </row>
    <row r="29" spans="1:11" s="2096" customFormat="1" ht="18" hidden="1" x14ac:dyDescent="0.35">
      <c r="A29" s="2097"/>
      <c r="B29" s="2110"/>
      <c r="C29" s="2111"/>
      <c r="D29" s="2111"/>
      <c r="E29" s="2111"/>
      <c r="F29" s="2105"/>
      <c r="G29" s="2105">
        <f t="shared" si="1"/>
        <v>0</v>
      </c>
      <c r="H29" s="2105"/>
      <c r="I29" s="2093"/>
      <c r="J29" s="2094"/>
    </row>
    <row r="30" spans="1:11" s="2096" customFormat="1" ht="7.95" hidden="1" customHeight="1" x14ac:dyDescent="0.35">
      <c r="A30" s="2097"/>
      <c r="B30" s="2110"/>
      <c r="C30" s="2111"/>
      <c r="D30" s="2111"/>
      <c r="E30" s="2111"/>
      <c r="F30" s="2105"/>
      <c r="G30" s="2105">
        <f t="shared" si="1"/>
        <v>0</v>
      </c>
      <c r="H30" s="2105"/>
      <c r="I30" s="2093"/>
      <c r="J30" s="2094"/>
    </row>
    <row r="31" spans="1:11" s="2096" customFormat="1" ht="9.6" hidden="1" customHeight="1" x14ac:dyDescent="0.35">
      <c r="A31" s="2097"/>
      <c r="B31" s="2110"/>
      <c r="C31" s="2111"/>
      <c r="D31" s="2111"/>
      <c r="E31" s="2111"/>
      <c r="F31" s="2105"/>
      <c r="G31" s="2105">
        <f t="shared" si="1"/>
        <v>0</v>
      </c>
      <c r="H31" s="2105"/>
      <c r="I31" s="2093"/>
      <c r="J31" s="2094"/>
    </row>
    <row r="32" spans="1:11" s="2096" customFormat="1" ht="19.350000000000001" customHeight="1" x14ac:dyDescent="0.35">
      <c r="A32" s="2112" t="s">
        <v>278</v>
      </c>
      <c r="B32" s="2113">
        <v>996030.6</v>
      </c>
      <c r="C32" s="2105">
        <f>1392127.6+45395.4-2597.5</f>
        <v>1434925.5</v>
      </c>
      <c r="D32" s="2111">
        <f>1095181.54305-358088.41008+5.56637</f>
        <v>737098.69933999993</v>
      </c>
      <c r="E32" s="2105">
        <v>1242867.3999999999</v>
      </c>
      <c r="F32" s="2105">
        <f>92900+11000+3815</f>
        <v>107715</v>
      </c>
      <c r="G32" s="2105">
        <f t="shared" si="1"/>
        <v>1350582.4</v>
      </c>
      <c r="H32" s="2105">
        <f>2149834-614787.6+11000+607.9</f>
        <v>1546654.2999999998</v>
      </c>
      <c r="I32" s="2093">
        <f>G32</f>
        <v>1350582.4</v>
      </c>
      <c r="J32" s="2094"/>
      <c r="K32" s="2095"/>
    </row>
    <row r="33" spans="1:10" s="2115" customFormat="1" ht="90" hidden="1" x14ac:dyDescent="0.35">
      <c r="A33" s="2114" t="s">
        <v>2142</v>
      </c>
      <c r="B33" s="2113"/>
      <c r="C33" s="2105"/>
      <c r="D33" s="2111"/>
      <c r="E33" s="2105"/>
      <c r="F33" s="2105"/>
      <c r="G33" s="2105">
        <f t="shared" si="1"/>
        <v>0</v>
      </c>
      <c r="H33" s="2105"/>
      <c r="I33" s="2109"/>
      <c r="J33" s="2094"/>
    </row>
    <row r="34" spans="1:10" s="2115" customFormat="1" ht="180" hidden="1" x14ac:dyDescent="0.35">
      <c r="A34" s="2114" t="s">
        <v>2143</v>
      </c>
      <c r="B34" s="2113"/>
      <c r="C34" s="2105"/>
      <c r="D34" s="2111"/>
      <c r="E34" s="2105"/>
      <c r="F34" s="2105"/>
      <c r="G34" s="2105">
        <f t="shared" si="1"/>
        <v>0</v>
      </c>
      <c r="H34" s="2105"/>
      <c r="I34" s="2109"/>
      <c r="J34" s="2094"/>
    </row>
    <row r="35" spans="1:10" s="2115" customFormat="1" ht="42.6" hidden="1" customHeight="1" x14ac:dyDescent="0.35">
      <c r="A35" s="2114" t="s">
        <v>2144</v>
      </c>
      <c r="B35" s="2113"/>
      <c r="C35" s="2105"/>
      <c r="D35" s="2111"/>
      <c r="E35" s="2105"/>
      <c r="F35" s="2105"/>
      <c r="G35" s="2105">
        <f t="shared" si="1"/>
        <v>0</v>
      </c>
      <c r="H35" s="2105"/>
      <c r="I35" s="2109"/>
      <c r="J35" s="2094"/>
    </row>
    <row r="36" spans="1:10" s="2115" customFormat="1" ht="18" hidden="1" x14ac:dyDescent="0.35">
      <c r="A36" s="2114"/>
      <c r="B36" s="2113"/>
      <c r="C36" s="2105"/>
      <c r="D36" s="2111"/>
      <c r="E36" s="2105"/>
      <c r="F36" s="2105"/>
      <c r="G36" s="2105">
        <f t="shared" si="1"/>
        <v>0</v>
      </c>
      <c r="H36" s="2105"/>
      <c r="I36" s="2093"/>
      <c r="J36" s="2094"/>
    </row>
    <row r="37" spans="1:10" s="2115" customFormat="1" ht="93.6" hidden="1" customHeight="1" x14ac:dyDescent="0.35">
      <c r="A37" s="2114" t="s">
        <v>2145</v>
      </c>
      <c r="B37" s="2113"/>
      <c r="C37" s="2105"/>
      <c r="D37" s="2111"/>
      <c r="E37" s="2105"/>
      <c r="F37" s="2105"/>
      <c r="G37" s="2105">
        <f t="shared" si="1"/>
        <v>0</v>
      </c>
      <c r="H37" s="2105"/>
      <c r="I37" s="2093"/>
      <c r="J37" s="2094"/>
    </row>
    <row r="38" spans="1:10" s="2115" customFormat="1" ht="18" hidden="1" x14ac:dyDescent="0.35">
      <c r="A38" s="2114"/>
      <c r="B38" s="2113"/>
      <c r="C38" s="2105"/>
      <c r="D38" s="2111"/>
      <c r="E38" s="2105"/>
      <c r="F38" s="2105"/>
      <c r="G38" s="2105">
        <f t="shared" si="1"/>
        <v>0</v>
      </c>
      <c r="H38" s="2105"/>
      <c r="I38" s="2093"/>
      <c r="J38" s="2094"/>
    </row>
    <row r="39" spans="1:10" s="2115" customFormat="1" ht="36" hidden="1" x14ac:dyDescent="0.35">
      <c r="A39" s="2114" t="s">
        <v>2146</v>
      </c>
      <c r="B39" s="2113"/>
      <c r="C39" s="2105"/>
      <c r="D39" s="2111"/>
      <c r="E39" s="2105"/>
      <c r="F39" s="2105"/>
      <c r="G39" s="2105">
        <f t="shared" si="1"/>
        <v>0</v>
      </c>
      <c r="H39" s="2105"/>
      <c r="I39" s="2093"/>
      <c r="J39" s="2094"/>
    </row>
    <row r="40" spans="1:10" s="2115" customFormat="1" ht="54" hidden="1" x14ac:dyDescent="0.35">
      <c r="A40" s="2114" t="s">
        <v>2147</v>
      </c>
      <c r="B40" s="2113"/>
      <c r="C40" s="2105"/>
      <c r="D40" s="2111"/>
      <c r="E40" s="2105"/>
      <c r="F40" s="2105"/>
      <c r="G40" s="2105">
        <f t="shared" si="1"/>
        <v>0</v>
      </c>
      <c r="H40" s="2105"/>
      <c r="I40" s="2093"/>
      <c r="J40" s="2094"/>
    </row>
    <row r="41" spans="1:10" s="2115" customFormat="1" ht="54" hidden="1" x14ac:dyDescent="0.35">
      <c r="A41" s="2114" t="s">
        <v>2148</v>
      </c>
      <c r="B41" s="2113"/>
      <c r="C41" s="2105"/>
      <c r="D41" s="2111"/>
      <c r="E41" s="2105"/>
      <c r="F41" s="2105"/>
      <c r="G41" s="2105">
        <f t="shared" si="1"/>
        <v>0</v>
      </c>
      <c r="H41" s="2105"/>
      <c r="I41" s="2093"/>
      <c r="J41" s="2094"/>
    </row>
    <row r="42" spans="1:10" s="2096" customFormat="1" ht="18" x14ac:dyDescent="0.35">
      <c r="A42" s="2116" t="s">
        <v>1484</v>
      </c>
      <c r="B42" s="2117">
        <v>180299.3</v>
      </c>
      <c r="C42" s="2118">
        <v>176461.7</v>
      </c>
      <c r="D42" s="2118">
        <v>111707.12719</v>
      </c>
      <c r="E42" s="2118">
        <v>186906.5</v>
      </c>
      <c r="F42" s="2105">
        <v>23677.5</v>
      </c>
      <c r="G42" s="2105">
        <f t="shared" si="1"/>
        <v>210584</v>
      </c>
      <c r="H42" s="2118">
        <v>306448.90000000002</v>
      </c>
      <c r="I42" s="2093">
        <f>G42</f>
        <v>210584</v>
      </c>
      <c r="J42" s="2094"/>
    </row>
    <row r="43" spans="1:10" s="2096" customFormat="1" ht="90" hidden="1" x14ac:dyDescent="0.35">
      <c r="A43" s="2119" t="s">
        <v>2149</v>
      </c>
      <c r="B43" s="2120"/>
      <c r="C43" s="2118"/>
      <c r="D43" s="2118"/>
      <c r="E43" s="2118"/>
      <c r="F43" s="2118"/>
      <c r="G43" s="2105">
        <f t="shared" si="1"/>
        <v>0</v>
      </c>
      <c r="H43" s="2118"/>
      <c r="I43" s="2093"/>
      <c r="J43" s="2094"/>
    </row>
    <row r="44" spans="1:10" s="2096" customFormat="1" ht="108" hidden="1" x14ac:dyDescent="0.35">
      <c r="A44" s="2119" t="s">
        <v>2150</v>
      </c>
      <c r="B44" s="2120"/>
      <c r="C44" s="2118"/>
      <c r="D44" s="2118"/>
      <c r="E44" s="2118"/>
      <c r="F44" s="2118"/>
      <c r="G44" s="2105">
        <f t="shared" si="1"/>
        <v>0</v>
      </c>
      <c r="H44" s="2118"/>
      <c r="I44" s="2093"/>
      <c r="J44" s="2094"/>
    </row>
    <row r="45" spans="1:10" s="2096" customFormat="1" ht="64.5" hidden="1" customHeight="1" x14ac:dyDescent="0.35">
      <c r="A45" s="2119" t="s">
        <v>2151</v>
      </c>
      <c r="B45" s="2120"/>
      <c r="C45" s="2118"/>
      <c r="D45" s="2118"/>
      <c r="E45" s="2118"/>
      <c r="F45" s="2118"/>
      <c r="G45" s="2105">
        <f t="shared" si="1"/>
        <v>0</v>
      </c>
      <c r="H45" s="2118"/>
      <c r="I45" s="2093"/>
      <c r="J45" s="2094"/>
    </row>
    <row r="46" spans="1:10" s="2096" customFormat="1" ht="18" x14ac:dyDescent="0.35">
      <c r="A46" s="2121" t="s">
        <v>1485</v>
      </c>
      <c r="B46" s="2122">
        <v>182295.3</v>
      </c>
      <c r="C46" s="2123">
        <f>230823.4+12764</f>
        <v>243587.4</v>
      </c>
      <c r="D46" s="2123">
        <f>152923.36065-6025.743</f>
        <v>146897.61765</v>
      </c>
      <c r="E46" s="2123">
        <f>278724.6-59706</f>
        <v>219018.59999999998</v>
      </c>
      <c r="F46" s="2105">
        <f>7689+900+15363.3-900</f>
        <v>23052.3</v>
      </c>
      <c r="G46" s="2105">
        <f t="shared" si="1"/>
        <v>242070.89999999997</v>
      </c>
      <c r="H46" s="2123">
        <f>546355.2-130.3-144671.8</f>
        <v>401553.09999999992</v>
      </c>
      <c r="I46" s="2093">
        <f>G46</f>
        <v>242070.89999999997</v>
      </c>
      <c r="J46" s="2094"/>
    </row>
    <row r="47" spans="1:10" s="2096" customFormat="1" ht="72" hidden="1" x14ac:dyDescent="0.35">
      <c r="A47" s="2121" t="s">
        <v>2152</v>
      </c>
      <c r="B47" s="2123"/>
      <c r="C47" s="2111"/>
      <c r="D47" s="2123"/>
      <c r="E47" s="2123"/>
      <c r="F47" s="2123"/>
      <c r="G47" s="2105">
        <f t="shared" si="1"/>
        <v>0</v>
      </c>
      <c r="H47" s="2123"/>
      <c r="I47" s="2093"/>
      <c r="J47" s="2094"/>
    </row>
    <row r="48" spans="1:10" s="2096" customFormat="1" ht="54" hidden="1" x14ac:dyDescent="0.35">
      <c r="A48" s="2121" t="s">
        <v>1611</v>
      </c>
      <c r="B48" s="2123"/>
      <c r="C48" s="2111"/>
      <c r="D48" s="2123"/>
      <c r="E48" s="2123"/>
      <c r="F48" s="2123"/>
      <c r="G48" s="2105">
        <f t="shared" si="1"/>
        <v>0</v>
      </c>
      <c r="H48" s="2123"/>
      <c r="I48" s="2093"/>
      <c r="J48" s="2094"/>
    </row>
    <row r="49" spans="1:10" s="2096" customFormat="1" ht="54" hidden="1" x14ac:dyDescent="0.35">
      <c r="A49" s="2121" t="s">
        <v>1600</v>
      </c>
      <c r="B49" s="2123"/>
      <c r="C49" s="2111"/>
      <c r="D49" s="2123"/>
      <c r="E49" s="2123"/>
      <c r="F49" s="2123"/>
      <c r="G49" s="2105">
        <f t="shared" si="1"/>
        <v>0</v>
      </c>
      <c r="H49" s="2123"/>
      <c r="I49" s="2093"/>
      <c r="J49" s="2094"/>
    </row>
    <row r="50" spans="1:10" s="2096" customFormat="1" ht="54" hidden="1" x14ac:dyDescent="0.35">
      <c r="A50" s="2121" t="s">
        <v>2153</v>
      </c>
      <c r="B50" s="2123"/>
      <c r="C50" s="2111"/>
      <c r="D50" s="2123"/>
      <c r="E50" s="2123"/>
      <c r="F50" s="2123"/>
      <c r="G50" s="2105">
        <f t="shared" si="1"/>
        <v>0</v>
      </c>
      <c r="H50" s="2123"/>
      <c r="I50" s="2093"/>
      <c r="J50" s="2094"/>
    </row>
    <row r="51" spans="1:10" s="2124" customFormat="1" ht="36" hidden="1" x14ac:dyDescent="0.35">
      <c r="A51" s="2121" t="s">
        <v>2154</v>
      </c>
      <c r="B51" s="2111"/>
      <c r="C51" s="2111"/>
      <c r="D51" s="2111"/>
      <c r="E51" s="2111"/>
      <c r="F51" s="2111"/>
      <c r="G51" s="2105">
        <f t="shared" si="1"/>
        <v>0</v>
      </c>
      <c r="H51" s="2111"/>
      <c r="I51" s="2093"/>
      <c r="J51" s="2094"/>
    </row>
    <row r="52" spans="1:10" s="2124" customFormat="1" ht="43.5" hidden="1" customHeight="1" x14ac:dyDescent="0.35">
      <c r="A52" s="2121" t="s">
        <v>2155</v>
      </c>
      <c r="B52" s="2111"/>
      <c r="C52" s="2111"/>
      <c r="D52" s="2111"/>
      <c r="E52" s="2111"/>
      <c r="F52" s="2111"/>
      <c r="G52" s="2105">
        <f t="shared" si="1"/>
        <v>0</v>
      </c>
      <c r="H52" s="2111"/>
      <c r="I52" s="2093"/>
      <c r="J52" s="2094"/>
    </row>
    <row r="53" spans="1:10" s="2124" customFormat="1" ht="28.5" hidden="1" customHeight="1" x14ac:dyDescent="0.35">
      <c r="A53" s="2121" t="s">
        <v>1693</v>
      </c>
      <c r="B53" s="2111"/>
      <c r="C53" s="2111"/>
      <c r="D53" s="2111"/>
      <c r="E53" s="2111"/>
      <c r="F53" s="2111"/>
      <c r="G53" s="2105">
        <f t="shared" si="1"/>
        <v>0</v>
      </c>
      <c r="H53" s="2111"/>
      <c r="I53" s="2093"/>
      <c r="J53" s="2094"/>
    </row>
    <row r="54" spans="1:10" s="2124" customFormat="1" ht="62.4" hidden="1" customHeight="1" x14ac:dyDescent="0.35">
      <c r="A54" s="2125" t="s">
        <v>2156</v>
      </c>
      <c r="B54" s="2111"/>
      <c r="C54" s="2111"/>
      <c r="D54" s="2111"/>
      <c r="E54" s="2111"/>
      <c r="F54" s="2111"/>
      <c r="G54" s="2105">
        <f t="shared" si="1"/>
        <v>0</v>
      </c>
      <c r="H54" s="2111"/>
      <c r="I54" s="2093"/>
      <c r="J54" s="2094"/>
    </row>
    <row r="55" spans="1:10" s="2124" customFormat="1" ht="36" hidden="1" x14ac:dyDescent="0.35">
      <c r="A55" s="2126" t="s">
        <v>1699</v>
      </c>
      <c r="B55" s="2111"/>
      <c r="C55" s="2111"/>
      <c r="D55" s="2111"/>
      <c r="E55" s="2105"/>
      <c r="F55" s="2111"/>
      <c r="G55" s="2105">
        <f t="shared" si="1"/>
        <v>0</v>
      </c>
      <c r="H55" s="2111"/>
      <c r="I55" s="2093"/>
      <c r="J55" s="2094"/>
    </row>
    <row r="56" spans="1:10" s="2124" customFormat="1" ht="54" hidden="1" x14ac:dyDescent="0.35">
      <c r="A56" s="2127" t="s">
        <v>1611</v>
      </c>
      <c r="B56" s="2105"/>
      <c r="C56" s="2105"/>
      <c r="D56" s="2111"/>
      <c r="E56" s="2105"/>
      <c r="F56" s="2105"/>
      <c r="G56" s="2105">
        <f t="shared" si="1"/>
        <v>0</v>
      </c>
      <c r="H56" s="2105"/>
      <c r="I56" s="2093"/>
      <c r="J56" s="2094"/>
    </row>
    <row r="57" spans="1:10" s="2096" customFormat="1" ht="18" x14ac:dyDescent="0.35">
      <c r="A57" s="2128" t="s">
        <v>359</v>
      </c>
      <c r="B57" s="2105">
        <v>45128.4</v>
      </c>
      <c r="C57" s="2105">
        <f>55111.3+3000</f>
        <v>58111.3</v>
      </c>
      <c r="D57" s="2111">
        <v>31343.1</v>
      </c>
      <c r="E57" s="2105">
        <f>55804.6</f>
        <v>55804.6</v>
      </c>
      <c r="F57" s="2105">
        <v>2000</v>
      </c>
      <c r="G57" s="2105">
        <f>E57+F57</f>
        <v>57804.6</v>
      </c>
      <c r="H57" s="2105">
        <v>67744.800000000003</v>
      </c>
      <c r="I57" s="2093">
        <f>G57</f>
        <v>57804.6</v>
      </c>
      <c r="J57" s="2094"/>
    </row>
    <row r="58" spans="1:10" s="2096" customFormat="1" ht="36" hidden="1" x14ac:dyDescent="0.35">
      <c r="A58" s="2114" t="s">
        <v>1658</v>
      </c>
      <c r="B58" s="2105"/>
      <c r="C58" s="2105"/>
      <c r="D58" s="2111"/>
      <c r="E58" s="2105"/>
      <c r="F58" s="2105"/>
      <c r="G58" s="2105">
        <f t="shared" si="1"/>
        <v>0</v>
      </c>
      <c r="H58" s="2105"/>
      <c r="I58" s="2093"/>
      <c r="J58" s="2094"/>
    </row>
    <row r="59" spans="1:10" s="2096" customFormat="1" ht="54" hidden="1" x14ac:dyDescent="0.35">
      <c r="A59" s="2114" t="s">
        <v>2157</v>
      </c>
      <c r="B59" s="2105"/>
      <c r="C59" s="2105"/>
      <c r="D59" s="2111"/>
      <c r="E59" s="2105"/>
      <c r="F59" s="2105"/>
      <c r="G59" s="2105">
        <f t="shared" si="1"/>
        <v>0</v>
      </c>
      <c r="H59" s="2105"/>
      <c r="I59" s="2109"/>
      <c r="J59" s="2094"/>
    </row>
    <row r="60" spans="1:10" s="2096" customFormat="1" ht="36" hidden="1" x14ac:dyDescent="0.35">
      <c r="A60" s="2114" t="s">
        <v>1635</v>
      </c>
      <c r="B60" s="2105"/>
      <c r="C60" s="2105"/>
      <c r="D60" s="2111"/>
      <c r="E60" s="2105"/>
      <c r="F60" s="2105"/>
      <c r="G60" s="2105">
        <f t="shared" si="1"/>
        <v>0</v>
      </c>
      <c r="H60" s="2105"/>
      <c r="I60" s="2109"/>
      <c r="J60" s="2094"/>
    </row>
    <row r="61" spans="1:10" s="2096" customFormat="1" ht="144" hidden="1" x14ac:dyDescent="0.35">
      <c r="A61" s="2114" t="s">
        <v>2145</v>
      </c>
      <c r="B61" s="2105"/>
      <c r="C61" s="2105"/>
      <c r="D61" s="2111"/>
      <c r="E61" s="2105"/>
      <c r="F61" s="2105"/>
      <c r="G61" s="2105">
        <f t="shared" si="1"/>
        <v>0</v>
      </c>
      <c r="H61" s="2105"/>
      <c r="I61" s="2109"/>
      <c r="J61" s="2094"/>
    </row>
    <row r="62" spans="1:10" s="2096" customFormat="1" ht="18" x14ac:dyDescent="0.35">
      <c r="A62" s="2112" t="s">
        <v>2158</v>
      </c>
      <c r="B62" s="2105">
        <v>96984.6</v>
      </c>
      <c r="C62" s="2105">
        <v>115270.5</v>
      </c>
      <c r="D62" s="2111">
        <f>66654.92748-20.7888</f>
        <v>66634.138680000004</v>
      </c>
      <c r="E62" s="2105">
        <v>117989.2</v>
      </c>
      <c r="F62" s="2105">
        <f>3200+1221.2</f>
        <v>4421.2</v>
      </c>
      <c r="G62" s="2105">
        <f t="shared" si="1"/>
        <v>122410.4</v>
      </c>
      <c r="H62" s="2105">
        <f>158074.2+1221.2</f>
        <v>159295.40000000002</v>
      </c>
      <c r="I62" s="2109">
        <f>G62</f>
        <v>122410.4</v>
      </c>
      <c r="J62" s="2094"/>
    </row>
    <row r="63" spans="1:10" s="2096" customFormat="1" ht="36" hidden="1" x14ac:dyDescent="0.35">
      <c r="A63" s="2128" t="s">
        <v>1641</v>
      </c>
      <c r="B63" s="2105"/>
      <c r="C63" s="2105"/>
      <c r="D63" s="2105"/>
      <c r="E63" s="2105"/>
      <c r="F63" s="2109"/>
      <c r="G63" s="2105">
        <f t="shared" si="1"/>
        <v>0</v>
      </c>
      <c r="H63" s="2105"/>
      <c r="I63" s="2109"/>
      <c r="J63" s="2094"/>
    </row>
    <row r="64" spans="1:10" s="2096" customFormat="1" ht="54" hidden="1" x14ac:dyDescent="0.35">
      <c r="A64" s="2129" t="s">
        <v>1643</v>
      </c>
      <c r="B64" s="2105"/>
      <c r="C64" s="2105"/>
      <c r="D64" s="2105"/>
      <c r="E64" s="2105"/>
      <c r="F64" s="2109"/>
      <c r="G64" s="2105">
        <f t="shared" si="1"/>
        <v>0</v>
      </c>
      <c r="H64" s="2105"/>
      <c r="I64" s="2109"/>
      <c r="J64" s="2094"/>
    </row>
    <row r="65" spans="1:13" s="2096" customFormat="1" ht="54" hidden="1" x14ac:dyDescent="0.35">
      <c r="A65" s="2129" t="s">
        <v>1645</v>
      </c>
      <c r="B65" s="2105"/>
      <c r="C65" s="2105"/>
      <c r="D65" s="2105"/>
      <c r="E65" s="2105"/>
      <c r="F65" s="2109"/>
      <c r="G65" s="2105">
        <f t="shared" si="1"/>
        <v>0</v>
      </c>
      <c r="H65" s="2105"/>
      <c r="I65" s="2109"/>
      <c r="J65" s="2094"/>
    </row>
    <row r="66" spans="1:13" s="2096" customFormat="1" ht="144" hidden="1" x14ac:dyDescent="0.35">
      <c r="A66" s="2128" t="s">
        <v>2159</v>
      </c>
      <c r="B66" s="2105"/>
      <c r="C66" s="2105"/>
      <c r="D66" s="2105"/>
      <c r="E66" s="2105"/>
      <c r="F66" s="2109"/>
      <c r="G66" s="2105">
        <f t="shared" si="1"/>
        <v>0</v>
      </c>
      <c r="H66" s="2105"/>
      <c r="I66" s="2109"/>
      <c r="J66" s="2094"/>
    </row>
    <row r="67" spans="1:13" s="2096" customFormat="1" ht="18" x14ac:dyDescent="0.35">
      <c r="A67" s="2112" t="s">
        <v>375</v>
      </c>
      <c r="B67" s="2109">
        <v>194249.2</v>
      </c>
      <c r="C67" s="2109">
        <v>204187.5</v>
      </c>
      <c r="D67" s="2109">
        <v>127003.52299</v>
      </c>
      <c r="E67" s="2109">
        <v>208351.4</v>
      </c>
      <c r="F67" s="2105">
        <v>3100</v>
      </c>
      <c r="G67" s="2105">
        <f t="shared" si="1"/>
        <v>211451.4</v>
      </c>
      <c r="H67" s="2109">
        <v>353269.6</v>
      </c>
      <c r="I67" s="2093">
        <f>G67</f>
        <v>211451.4</v>
      </c>
      <c r="J67" s="2094"/>
    </row>
    <row r="68" spans="1:13" s="2096" customFormat="1" ht="63.9" hidden="1" customHeight="1" x14ac:dyDescent="0.35">
      <c r="A68" s="2128" t="s">
        <v>2160</v>
      </c>
      <c r="B68" s="2109"/>
      <c r="C68" s="2109"/>
      <c r="D68" s="2109"/>
      <c r="E68" s="2109"/>
      <c r="F68" s="2109"/>
      <c r="G68" s="2105">
        <f t="shared" si="1"/>
        <v>0</v>
      </c>
      <c r="H68" s="2109"/>
      <c r="I68" s="2093"/>
      <c r="J68" s="2094"/>
    </row>
    <row r="69" spans="1:13" s="2096" customFormat="1" ht="40.35" hidden="1" customHeight="1" x14ac:dyDescent="0.35">
      <c r="A69" s="2128" t="s">
        <v>1718</v>
      </c>
      <c r="B69" s="2109"/>
      <c r="C69" s="2109"/>
      <c r="D69" s="2109"/>
      <c r="E69" s="2109"/>
      <c r="F69" s="2109"/>
      <c r="G69" s="2105">
        <f t="shared" si="1"/>
        <v>0</v>
      </c>
      <c r="H69" s="2109"/>
      <c r="I69" s="2093"/>
      <c r="J69" s="2094"/>
    </row>
    <row r="70" spans="1:13" s="2096" customFormat="1" ht="41.85" hidden="1" customHeight="1" x14ac:dyDescent="0.35">
      <c r="A70" s="2128" t="s">
        <v>1725</v>
      </c>
      <c r="B70" s="2109"/>
      <c r="C70" s="2109"/>
      <c r="D70" s="2109"/>
      <c r="E70" s="2109"/>
      <c r="F70" s="2109"/>
      <c r="G70" s="2105">
        <f t="shared" si="1"/>
        <v>0</v>
      </c>
      <c r="H70" s="2109"/>
      <c r="I70" s="2093"/>
      <c r="J70" s="2094"/>
    </row>
    <row r="71" spans="1:13" s="2096" customFormat="1" ht="97.5" hidden="1" customHeight="1" x14ac:dyDescent="0.35">
      <c r="A71" s="2128" t="s">
        <v>2161</v>
      </c>
      <c r="B71" s="2109"/>
      <c r="C71" s="2109"/>
      <c r="D71" s="2109"/>
      <c r="E71" s="2109"/>
      <c r="F71" s="2109"/>
      <c r="G71" s="2105">
        <f t="shared" si="1"/>
        <v>0</v>
      </c>
      <c r="H71" s="2109"/>
      <c r="I71" s="2093"/>
      <c r="J71" s="2094"/>
    </row>
    <row r="72" spans="1:13" s="2096" customFormat="1" ht="51" hidden="1" customHeight="1" x14ac:dyDescent="0.35">
      <c r="A72" s="2128" t="s">
        <v>2162</v>
      </c>
      <c r="B72" s="2109"/>
      <c r="C72" s="2109"/>
      <c r="D72" s="2109"/>
      <c r="E72" s="2109"/>
      <c r="F72" s="2109"/>
      <c r="G72" s="2105">
        <f t="shared" si="1"/>
        <v>0</v>
      </c>
      <c r="H72" s="2109"/>
      <c r="I72" s="2093"/>
      <c r="J72" s="2094"/>
    </row>
    <row r="73" spans="1:13" s="2096" customFormat="1" ht="43.2" hidden="1" customHeight="1" x14ac:dyDescent="0.35">
      <c r="A73" s="2130" t="s">
        <v>1715</v>
      </c>
      <c r="B73" s="2118"/>
      <c r="C73" s="2118"/>
      <c r="D73" s="2118"/>
      <c r="E73" s="2118"/>
      <c r="F73" s="2118"/>
      <c r="G73" s="2105">
        <f t="shared" si="1"/>
        <v>0</v>
      </c>
      <c r="H73" s="2118"/>
      <c r="I73" s="2131"/>
      <c r="J73" s="2094"/>
      <c r="K73" s="2095"/>
      <c r="L73" s="2095"/>
      <c r="M73" s="2095"/>
    </row>
    <row r="74" spans="1:13" s="2115" customFormat="1" ht="18" hidden="1" x14ac:dyDescent="0.35">
      <c r="A74" s="2132" t="s">
        <v>2163</v>
      </c>
      <c r="B74" s="2133"/>
      <c r="C74" s="2133"/>
      <c r="D74" s="2133"/>
      <c r="E74" s="2133"/>
      <c r="F74" s="2133"/>
      <c r="G74" s="2105">
        <f t="shared" si="1"/>
        <v>0</v>
      </c>
      <c r="H74" s="2133"/>
      <c r="I74" s="2134"/>
      <c r="J74" s="2094"/>
      <c r="K74" s="2135"/>
      <c r="L74" s="2135"/>
      <c r="M74" s="2135"/>
    </row>
    <row r="75" spans="1:13" s="2115" customFormat="1" ht="18" hidden="1" x14ac:dyDescent="0.35">
      <c r="A75" s="2130" t="s">
        <v>2164</v>
      </c>
      <c r="B75" s="2118"/>
      <c r="C75" s="2118"/>
      <c r="D75" s="2118"/>
      <c r="E75" s="2118"/>
      <c r="F75" s="2118"/>
      <c r="G75" s="2105">
        <f t="shared" si="1"/>
        <v>0</v>
      </c>
      <c r="H75" s="2118"/>
      <c r="I75" s="2131"/>
      <c r="J75" s="2094"/>
    </row>
    <row r="76" spans="1:13" s="2115" customFormat="1" ht="54" hidden="1" x14ac:dyDescent="0.35">
      <c r="A76" s="2130" t="s">
        <v>2165</v>
      </c>
      <c r="B76" s="2118"/>
      <c r="C76" s="2118"/>
      <c r="D76" s="2118"/>
      <c r="E76" s="2118"/>
      <c r="F76" s="2118"/>
      <c r="G76" s="2105">
        <f t="shared" si="1"/>
        <v>0</v>
      </c>
      <c r="H76" s="2118"/>
      <c r="I76" s="2131"/>
      <c r="J76" s="2094"/>
    </row>
    <row r="77" spans="1:13" s="2115" customFormat="1" ht="54" hidden="1" x14ac:dyDescent="0.35">
      <c r="A77" s="2130" t="s">
        <v>1725</v>
      </c>
      <c r="B77" s="2118"/>
      <c r="C77" s="2118"/>
      <c r="D77" s="2118"/>
      <c r="E77" s="2118"/>
      <c r="F77" s="2118"/>
      <c r="G77" s="2105">
        <f t="shared" si="1"/>
        <v>0</v>
      </c>
      <c r="H77" s="2118"/>
      <c r="I77" s="2131"/>
      <c r="J77" s="2094"/>
    </row>
    <row r="78" spans="1:13" s="2115" customFormat="1" ht="144" hidden="1" x14ac:dyDescent="0.35">
      <c r="A78" s="2130" t="s">
        <v>2161</v>
      </c>
      <c r="B78" s="2118"/>
      <c r="C78" s="2118"/>
      <c r="D78" s="2118"/>
      <c r="E78" s="2118"/>
      <c r="F78" s="2118"/>
      <c r="G78" s="2105">
        <f t="shared" ref="G78:G109" si="2">E78+F78</f>
        <v>0</v>
      </c>
      <c r="H78" s="2118"/>
      <c r="I78" s="2131"/>
      <c r="J78" s="2094"/>
    </row>
    <row r="79" spans="1:13" s="2115" customFormat="1" ht="41.4" hidden="1" customHeight="1" x14ac:dyDescent="0.35">
      <c r="A79" s="2130" t="s">
        <v>2162</v>
      </c>
      <c r="B79" s="2118"/>
      <c r="C79" s="2118"/>
      <c r="D79" s="2118"/>
      <c r="E79" s="2118"/>
      <c r="F79" s="2118"/>
      <c r="G79" s="2105">
        <f t="shared" si="2"/>
        <v>0</v>
      </c>
      <c r="H79" s="2118"/>
      <c r="I79" s="2131"/>
      <c r="J79" s="2094"/>
    </row>
    <row r="80" spans="1:13" s="2096" customFormat="1" ht="18" x14ac:dyDescent="0.35">
      <c r="A80" s="2121" t="s">
        <v>1258</v>
      </c>
      <c r="B80" s="2111">
        <v>420506.2</v>
      </c>
      <c r="C80" s="2111">
        <f>347829.8-3000</f>
        <v>344829.8</v>
      </c>
      <c r="D80" s="2111">
        <v>236223.7</v>
      </c>
      <c r="E80" s="2111">
        <f>341923.3-130</f>
        <v>341793.3</v>
      </c>
      <c r="F80" s="2105">
        <v>27</v>
      </c>
      <c r="G80" s="2105">
        <f t="shared" si="2"/>
        <v>341820.3</v>
      </c>
      <c r="H80" s="2111">
        <v>539787.1</v>
      </c>
      <c r="I80" s="2093">
        <f>G80</f>
        <v>341820.3</v>
      </c>
      <c r="J80" s="2094"/>
    </row>
    <row r="81" spans="1:10" s="2096" customFormat="1" ht="68.400000000000006" hidden="1" customHeight="1" x14ac:dyDescent="0.35">
      <c r="A81" s="2097" t="s">
        <v>2166</v>
      </c>
      <c r="B81" s="2105"/>
      <c r="C81" s="2105"/>
      <c r="D81" s="2136"/>
      <c r="E81" s="2136"/>
      <c r="F81" s="2105"/>
      <c r="G81" s="2105">
        <f t="shared" si="2"/>
        <v>0</v>
      </c>
      <c r="H81" s="2105"/>
      <c r="I81" s="2109"/>
      <c r="J81" s="2094"/>
    </row>
    <row r="82" spans="1:10" s="2096" customFormat="1" ht="56.25" hidden="1" customHeight="1" x14ac:dyDescent="0.35">
      <c r="A82" s="2097" t="s">
        <v>2167</v>
      </c>
      <c r="B82" s="2105"/>
      <c r="C82" s="2105"/>
      <c r="D82" s="2105"/>
      <c r="E82" s="2105"/>
      <c r="F82" s="2105"/>
      <c r="G82" s="2105">
        <f t="shared" si="2"/>
        <v>0</v>
      </c>
      <c r="H82" s="2105"/>
      <c r="I82" s="2093"/>
      <c r="J82" s="2094"/>
    </row>
    <row r="83" spans="1:10" s="2096" customFormat="1" ht="36" hidden="1" customHeight="1" x14ac:dyDescent="0.35">
      <c r="A83" s="2097" t="s">
        <v>1820</v>
      </c>
      <c r="B83" s="2105"/>
      <c r="C83" s="2105"/>
      <c r="D83" s="2105"/>
      <c r="E83" s="2105"/>
      <c r="F83" s="2105"/>
      <c r="G83" s="2105">
        <f t="shared" si="2"/>
        <v>0</v>
      </c>
      <c r="H83" s="2105"/>
      <c r="I83" s="2093"/>
      <c r="J83" s="2094"/>
    </row>
    <row r="84" spans="1:10" s="2096" customFormat="1" ht="72" hidden="1" x14ac:dyDescent="0.35">
      <c r="A84" s="2097" t="s">
        <v>1823</v>
      </c>
      <c r="B84" s="2105"/>
      <c r="C84" s="2105"/>
      <c r="D84" s="2105"/>
      <c r="E84" s="2105"/>
      <c r="F84" s="2105"/>
      <c r="G84" s="2105">
        <f t="shared" si="2"/>
        <v>0</v>
      </c>
      <c r="H84" s="2105"/>
      <c r="I84" s="2093"/>
      <c r="J84" s="2094"/>
    </row>
    <row r="85" spans="1:10" s="2096" customFormat="1" ht="54" hidden="1" x14ac:dyDescent="0.35">
      <c r="A85" s="2097" t="s">
        <v>1727</v>
      </c>
      <c r="B85" s="2105"/>
      <c r="C85" s="2105"/>
      <c r="D85" s="2105"/>
      <c r="E85" s="2105"/>
      <c r="F85" s="2105"/>
      <c r="G85" s="2105">
        <f t="shared" si="2"/>
        <v>0</v>
      </c>
      <c r="H85" s="2105"/>
      <c r="I85" s="2109"/>
      <c r="J85" s="2094"/>
    </row>
    <row r="86" spans="1:10" s="2096" customFormat="1" ht="72" hidden="1" x14ac:dyDescent="0.35">
      <c r="A86" s="2097" t="s">
        <v>1778</v>
      </c>
      <c r="B86" s="2105"/>
      <c r="C86" s="2105"/>
      <c r="D86" s="2105"/>
      <c r="E86" s="2105"/>
      <c r="F86" s="2105"/>
      <c r="G86" s="2105">
        <f t="shared" si="2"/>
        <v>0</v>
      </c>
      <c r="H86" s="2105"/>
      <c r="I86" s="2109"/>
      <c r="J86" s="2094"/>
    </row>
    <row r="87" spans="1:10" s="2096" customFormat="1" ht="54" hidden="1" x14ac:dyDescent="0.35">
      <c r="A87" s="2097" t="s">
        <v>2168</v>
      </c>
      <c r="B87" s="2111"/>
      <c r="C87" s="2111"/>
      <c r="D87" s="2111"/>
      <c r="E87" s="2111"/>
      <c r="F87" s="2111"/>
      <c r="G87" s="2105">
        <f t="shared" si="2"/>
        <v>0</v>
      </c>
      <c r="H87" s="2111"/>
      <c r="I87" s="2093"/>
      <c r="J87" s="2094"/>
    </row>
    <row r="88" spans="1:10" s="2096" customFormat="1" ht="18" x14ac:dyDescent="0.35">
      <c r="A88" s="2121" t="s">
        <v>465</v>
      </c>
      <c r="B88" s="2111">
        <v>16405</v>
      </c>
      <c r="C88" s="2111">
        <v>22945.599999999999</v>
      </c>
      <c r="D88" s="2111">
        <v>11655.971009999999</v>
      </c>
      <c r="E88" s="2111">
        <v>21256</v>
      </c>
      <c r="F88" s="2105">
        <f>2855.7+3562.4</f>
        <v>6418.1</v>
      </c>
      <c r="G88" s="2105">
        <f t="shared" si="2"/>
        <v>27674.1</v>
      </c>
      <c r="H88" s="2111">
        <f>31696.3+3562.4</f>
        <v>35258.699999999997</v>
      </c>
      <c r="I88" s="2093">
        <f>G88</f>
        <v>27674.1</v>
      </c>
      <c r="J88" s="2094"/>
    </row>
    <row r="89" spans="1:10" s="2096" customFormat="1" ht="112.5" hidden="1" customHeight="1" x14ac:dyDescent="0.35">
      <c r="A89" s="2128" t="s">
        <v>2169</v>
      </c>
      <c r="B89" s="2105"/>
      <c r="C89" s="2105"/>
      <c r="D89" s="2105"/>
      <c r="E89" s="2105"/>
      <c r="F89" s="2105"/>
      <c r="G89" s="2105">
        <f t="shared" si="2"/>
        <v>0</v>
      </c>
      <c r="H89" s="2105"/>
      <c r="I89" s="2109"/>
      <c r="J89" s="2094"/>
    </row>
    <row r="90" spans="1:10" s="2096" customFormat="1" ht="61.95" hidden="1" customHeight="1" x14ac:dyDescent="0.35">
      <c r="A90" s="2128" t="s">
        <v>1830</v>
      </c>
      <c r="B90" s="2105"/>
      <c r="C90" s="2105"/>
      <c r="D90" s="2105"/>
      <c r="E90" s="2105"/>
      <c r="F90" s="2105"/>
      <c r="G90" s="2105">
        <f t="shared" si="2"/>
        <v>0</v>
      </c>
      <c r="H90" s="2105"/>
      <c r="I90" s="2093"/>
      <c r="J90" s="2094"/>
    </row>
    <row r="91" spans="1:10" s="2096" customFormat="1" ht="75" hidden="1" customHeight="1" x14ac:dyDescent="0.35">
      <c r="A91" s="2121" t="s">
        <v>2170</v>
      </c>
      <c r="B91" s="2111"/>
      <c r="C91" s="2111"/>
      <c r="D91" s="2111"/>
      <c r="E91" s="2111"/>
      <c r="F91" s="2111"/>
      <c r="G91" s="2105">
        <f t="shared" si="2"/>
        <v>0</v>
      </c>
      <c r="H91" s="2111"/>
      <c r="I91" s="2109"/>
      <c r="J91" s="2094"/>
    </row>
    <row r="92" spans="1:10" s="2096" customFormat="1" ht="54.6" hidden="1" customHeight="1" x14ac:dyDescent="0.35">
      <c r="A92" s="2121" t="s">
        <v>1813</v>
      </c>
      <c r="B92" s="2111"/>
      <c r="C92" s="2111"/>
      <c r="D92" s="2111"/>
      <c r="E92" s="2111"/>
      <c r="F92" s="2111"/>
      <c r="G92" s="2105">
        <f t="shared" si="2"/>
        <v>0</v>
      </c>
      <c r="H92" s="2111"/>
      <c r="I92" s="2109"/>
      <c r="J92" s="2094"/>
    </row>
    <row r="93" spans="1:10" s="2096" customFormat="1" ht="39.6" hidden="1" customHeight="1" x14ac:dyDescent="0.35">
      <c r="A93" s="2121" t="s">
        <v>1753</v>
      </c>
      <c r="B93" s="2111"/>
      <c r="C93" s="2111"/>
      <c r="D93" s="2111"/>
      <c r="E93" s="2111"/>
      <c r="F93" s="2111"/>
      <c r="G93" s="2105">
        <f t="shared" si="2"/>
        <v>0</v>
      </c>
      <c r="H93" s="2111"/>
      <c r="I93" s="2109"/>
      <c r="J93" s="2094"/>
    </row>
    <row r="94" spans="1:10" s="2096" customFormat="1" ht="56.25" hidden="1" customHeight="1" x14ac:dyDescent="0.35">
      <c r="A94" s="2121" t="s">
        <v>1715</v>
      </c>
      <c r="B94" s="2111"/>
      <c r="C94" s="2111"/>
      <c r="D94" s="2111"/>
      <c r="E94" s="2111"/>
      <c r="F94" s="2111"/>
      <c r="G94" s="2105">
        <f t="shared" si="2"/>
        <v>0</v>
      </c>
      <c r="H94" s="2111"/>
      <c r="I94" s="2109"/>
      <c r="J94" s="2094"/>
    </row>
    <row r="95" spans="1:10" s="2096" customFormat="1" ht="37.5" hidden="1" customHeight="1" x14ac:dyDescent="0.35">
      <c r="A95" s="2097" t="s">
        <v>2171</v>
      </c>
      <c r="B95" s="2105"/>
      <c r="C95" s="2105"/>
      <c r="D95" s="2105"/>
      <c r="E95" s="2105"/>
      <c r="F95" s="2105"/>
      <c r="G95" s="2105">
        <f t="shared" si="2"/>
        <v>0</v>
      </c>
      <c r="H95" s="2105"/>
      <c r="I95" s="2109"/>
      <c r="J95" s="2094"/>
    </row>
    <row r="96" spans="1:10" s="2096" customFormat="1" ht="56.25" hidden="1" customHeight="1" x14ac:dyDescent="0.35">
      <c r="A96" s="2097" t="s">
        <v>1784</v>
      </c>
      <c r="B96" s="2105"/>
      <c r="C96" s="2105"/>
      <c r="D96" s="2105"/>
      <c r="E96" s="2105"/>
      <c r="F96" s="2105"/>
      <c r="G96" s="2105">
        <f t="shared" si="2"/>
        <v>0</v>
      </c>
      <c r="H96" s="2105"/>
      <c r="I96" s="2109"/>
      <c r="J96" s="2094"/>
    </row>
    <row r="97" spans="1:10" s="2096" customFormat="1" ht="18.75" hidden="1" customHeight="1" x14ac:dyDescent="0.35">
      <c r="A97" s="2097" t="s">
        <v>540</v>
      </c>
      <c r="B97" s="2105"/>
      <c r="C97" s="2105"/>
      <c r="D97" s="2105"/>
      <c r="E97" s="2105"/>
      <c r="F97" s="2105"/>
      <c r="G97" s="2105">
        <f t="shared" si="2"/>
        <v>0</v>
      </c>
      <c r="H97" s="2105"/>
      <c r="I97" s="2093"/>
      <c r="J97" s="2094"/>
    </row>
    <row r="98" spans="1:10" s="2096" customFormat="1" ht="37.5" hidden="1" customHeight="1" x14ac:dyDescent="0.35">
      <c r="A98" s="2097" t="s">
        <v>1842</v>
      </c>
      <c r="B98" s="2105"/>
      <c r="C98" s="2105"/>
      <c r="D98" s="2105"/>
      <c r="E98" s="2105"/>
      <c r="F98" s="2105"/>
      <c r="G98" s="2105">
        <f t="shared" si="2"/>
        <v>0</v>
      </c>
      <c r="H98" s="2105"/>
      <c r="I98" s="2093"/>
      <c r="J98" s="2094"/>
    </row>
    <row r="99" spans="1:10" s="2096" customFormat="1" ht="18" x14ac:dyDescent="0.35">
      <c r="A99" s="2128" t="s">
        <v>626</v>
      </c>
      <c r="B99" s="2109">
        <v>30443.599999999999</v>
      </c>
      <c r="C99" s="2109">
        <v>22733.5</v>
      </c>
      <c r="D99" s="2109">
        <v>15025.2</v>
      </c>
      <c r="E99" s="2109">
        <v>16796.2</v>
      </c>
      <c r="F99" s="2109"/>
      <c r="G99" s="2105">
        <f t="shared" si="2"/>
        <v>16796.2</v>
      </c>
      <c r="H99" s="2109">
        <v>37764.1</v>
      </c>
      <c r="I99" s="2093">
        <f>G99</f>
        <v>16796.2</v>
      </c>
      <c r="J99" s="2094"/>
    </row>
    <row r="100" spans="1:10" s="2096" customFormat="1" ht="54" hidden="1" x14ac:dyDescent="0.35">
      <c r="A100" s="2130" t="s">
        <v>2162</v>
      </c>
      <c r="B100" s="2118"/>
      <c r="C100" s="2118"/>
      <c r="D100" s="2118"/>
      <c r="E100" s="2118"/>
      <c r="F100" s="2118"/>
      <c r="G100" s="2105">
        <f t="shared" si="2"/>
        <v>0</v>
      </c>
      <c r="H100" s="2118"/>
      <c r="I100" s="2093">
        <f>G100</f>
        <v>0</v>
      </c>
      <c r="J100" s="2094"/>
    </row>
    <row r="101" spans="1:10" s="2096" customFormat="1" ht="144" hidden="1" x14ac:dyDescent="0.35">
      <c r="A101" s="2130" t="s">
        <v>2161</v>
      </c>
      <c r="B101" s="2118"/>
      <c r="C101" s="2118"/>
      <c r="D101" s="2118"/>
      <c r="E101" s="2118"/>
      <c r="F101" s="2118"/>
      <c r="G101" s="2105">
        <f t="shared" si="2"/>
        <v>0</v>
      </c>
      <c r="H101" s="2118"/>
      <c r="I101" s="2093">
        <f>G101</f>
        <v>0</v>
      </c>
      <c r="J101" s="2094"/>
    </row>
    <row r="102" spans="1:10" s="2096" customFormat="1" ht="18" x14ac:dyDescent="0.35">
      <c r="A102" s="2116" t="s">
        <v>541</v>
      </c>
      <c r="B102" s="2118">
        <v>0</v>
      </c>
      <c r="C102" s="2118">
        <v>24945.5</v>
      </c>
      <c r="D102" s="2118">
        <v>0</v>
      </c>
      <c r="E102" s="2118">
        <v>150000</v>
      </c>
      <c r="F102" s="2118"/>
      <c r="G102" s="2105">
        <f t="shared" si="2"/>
        <v>150000</v>
      </c>
      <c r="H102" s="2118">
        <v>0</v>
      </c>
      <c r="I102" s="2093">
        <f>G102</f>
        <v>150000</v>
      </c>
      <c r="J102" s="2094"/>
    </row>
    <row r="103" spans="1:10" s="2096" customFormat="1" ht="18" x14ac:dyDescent="0.35">
      <c r="A103" s="2112" t="s">
        <v>2172</v>
      </c>
      <c r="B103" s="2109">
        <v>44023.7</v>
      </c>
      <c r="C103" s="2109">
        <f>47823.3+16700</f>
        <v>64523.3</v>
      </c>
      <c r="D103" s="2109">
        <v>45299.306049999999</v>
      </c>
      <c r="E103" s="2109">
        <v>300000</v>
      </c>
      <c r="F103" s="2109"/>
      <c r="G103" s="2105">
        <f t="shared" si="2"/>
        <v>300000</v>
      </c>
      <c r="H103" s="2109">
        <v>300000</v>
      </c>
      <c r="I103" s="2093">
        <f t="shared" ref="I103:I109" si="3">G103</f>
        <v>300000</v>
      </c>
      <c r="J103" s="2094"/>
    </row>
    <row r="104" spans="1:10" s="2096" customFormat="1" ht="36" hidden="1" x14ac:dyDescent="0.35">
      <c r="A104" s="2137" t="s">
        <v>1755</v>
      </c>
      <c r="B104" s="2138"/>
      <c r="C104" s="2138"/>
      <c r="D104" s="2138"/>
      <c r="E104" s="2138"/>
      <c r="F104" s="2138"/>
      <c r="G104" s="2105">
        <f t="shared" si="2"/>
        <v>0</v>
      </c>
      <c r="H104" s="2138"/>
      <c r="I104" s="2093">
        <f t="shared" si="3"/>
        <v>0</v>
      </c>
      <c r="J104" s="2094"/>
    </row>
    <row r="105" spans="1:10" s="2096" customFormat="1" ht="108" hidden="1" x14ac:dyDescent="0.35">
      <c r="A105" s="2137" t="s">
        <v>2169</v>
      </c>
      <c r="B105" s="2138"/>
      <c r="C105" s="2138"/>
      <c r="D105" s="2138"/>
      <c r="E105" s="2138"/>
      <c r="F105" s="2138"/>
      <c r="G105" s="2105">
        <f t="shared" si="2"/>
        <v>0</v>
      </c>
      <c r="H105" s="2138"/>
      <c r="I105" s="2093">
        <f t="shared" si="3"/>
        <v>0</v>
      </c>
      <c r="J105" s="2094"/>
    </row>
    <row r="106" spans="1:10" s="2096" customFormat="1" ht="54" hidden="1" x14ac:dyDescent="0.35">
      <c r="A106" s="2137" t="s">
        <v>1749</v>
      </c>
      <c r="B106" s="2138"/>
      <c r="C106" s="2138"/>
      <c r="D106" s="2138"/>
      <c r="E106" s="2138"/>
      <c r="F106" s="2138"/>
      <c r="G106" s="2105">
        <f t="shared" si="2"/>
        <v>0</v>
      </c>
      <c r="H106" s="2138"/>
      <c r="I106" s="2093">
        <f t="shared" si="3"/>
        <v>0</v>
      </c>
      <c r="J106" s="2094"/>
    </row>
    <row r="107" spans="1:10" s="2096" customFormat="1" ht="54" hidden="1" x14ac:dyDescent="0.35">
      <c r="A107" s="2137" t="s">
        <v>1751</v>
      </c>
      <c r="B107" s="2138"/>
      <c r="C107" s="2138"/>
      <c r="D107" s="2138"/>
      <c r="E107" s="2138"/>
      <c r="F107" s="2138"/>
      <c r="G107" s="2105">
        <f t="shared" si="2"/>
        <v>0</v>
      </c>
      <c r="H107" s="2138"/>
      <c r="I107" s="2093">
        <f t="shared" si="3"/>
        <v>0</v>
      </c>
      <c r="J107" s="2094"/>
    </row>
    <row r="108" spans="1:10" s="2096" customFormat="1" ht="54" hidden="1" x14ac:dyDescent="0.35">
      <c r="A108" s="2137" t="s">
        <v>1753</v>
      </c>
      <c r="B108" s="2138"/>
      <c r="C108" s="2138"/>
      <c r="D108" s="2138"/>
      <c r="E108" s="2138"/>
      <c r="F108" s="2138"/>
      <c r="G108" s="2105">
        <f t="shared" si="2"/>
        <v>0</v>
      </c>
      <c r="H108" s="2138"/>
      <c r="I108" s="2093">
        <f t="shared" si="3"/>
        <v>0</v>
      </c>
      <c r="J108" s="2094"/>
    </row>
    <row r="109" spans="1:10" s="2096" customFormat="1" ht="18" x14ac:dyDescent="0.35">
      <c r="A109" s="2090" t="s">
        <v>2173</v>
      </c>
      <c r="B109" s="2091">
        <v>493761.2</v>
      </c>
      <c r="C109" s="2091">
        <v>0</v>
      </c>
      <c r="D109" s="2091">
        <v>0</v>
      </c>
      <c r="E109" s="2091">
        <v>277243.3</v>
      </c>
      <c r="F109" s="2105"/>
      <c r="G109" s="2105">
        <f t="shared" si="2"/>
        <v>277243.3</v>
      </c>
      <c r="H109" s="2091">
        <v>0</v>
      </c>
      <c r="I109" s="2093">
        <f t="shared" si="3"/>
        <v>277243.3</v>
      </c>
      <c r="J109" s="2094"/>
    </row>
    <row r="110" spans="1:10" s="2096" customFormat="1" ht="18" x14ac:dyDescent="0.35">
      <c r="A110" s="2139" t="s">
        <v>2174</v>
      </c>
      <c r="B110" s="2140">
        <f t="shared" ref="B110:H110" si="4">B13+B32+B42+B46+B57+B62+B67+B80+B88+B97+B99+B102+B103+B109</f>
        <v>3063739.6000000006</v>
      </c>
      <c r="C110" s="2140">
        <f t="shared" si="4"/>
        <v>3101709.8999999994</v>
      </c>
      <c r="D110" s="2140">
        <f t="shared" si="4"/>
        <v>1773169.5426699999</v>
      </c>
      <c r="E110" s="2140">
        <f>E13+E32+E42+E46+E57+E62+E67+E80+E88+E97+E99+E102+E103+E109</f>
        <v>3536587.1</v>
      </c>
      <c r="F110" s="2140">
        <f>F13+F32+F42+F46+F57+F62+F67+F80+F88+F97+F99+F102+F103+F109</f>
        <v>190366.30000000002</v>
      </c>
      <c r="G110" s="2140">
        <f t="shared" si="4"/>
        <v>3726953.4</v>
      </c>
      <c r="H110" s="2140">
        <f t="shared" si="4"/>
        <v>4258648.5999999996</v>
      </c>
      <c r="I110" s="2140">
        <f>I13+I32+I42+I46+I57+I62+I67+I80+I88+I97+I99+I102+I103+I109</f>
        <v>3726953.4</v>
      </c>
      <c r="J110" s="2094"/>
    </row>
    <row r="111" spans="1:10" s="2096" customFormat="1" ht="56.4" customHeight="1" x14ac:dyDescent="0.35">
      <c r="A111" s="2097" t="s">
        <v>2175</v>
      </c>
      <c r="B111" s="2111">
        <v>1038384.1</v>
      </c>
      <c r="C111" s="2111">
        <v>707483.5</v>
      </c>
      <c r="D111" s="2110">
        <v>550707.19999999995</v>
      </c>
      <c r="E111" s="2110">
        <f>151310.4+20615+163107.5+143523.3-17327.7+6199.1+4669.7+5036.3</f>
        <v>477133.6</v>
      </c>
      <c r="F111" s="2105">
        <f>-155404.4-11900-15363.3+900-5036.2-3562.4</f>
        <v>-190366.3</v>
      </c>
      <c r="G111" s="2105">
        <f>E111+F111</f>
        <v>286767.3</v>
      </c>
      <c r="H111" s="2111"/>
      <c r="I111" s="2109">
        <f>G111</f>
        <v>286767.3</v>
      </c>
      <c r="J111" s="2094"/>
    </row>
    <row r="112" spans="1:10" s="2115" customFormat="1" ht="36" x14ac:dyDescent="0.35">
      <c r="A112" s="2141" t="s">
        <v>2176</v>
      </c>
      <c r="B112" s="2142">
        <f t="shared" ref="B112:I112" si="5">B110+B111</f>
        <v>4102123.7000000007</v>
      </c>
      <c r="C112" s="2142">
        <f t="shared" si="5"/>
        <v>3809193.3999999994</v>
      </c>
      <c r="D112" s="2142">
        <f t="shared" si="5"/>
        <v>2323876.7426699996</v>
      </c>
      <c r="E112" s="2143">
        <f t="shared" si="5"/>
        <v>4013720.7</v>
      </c>
      <c r="F112" s="2143">
        <f t="shared" si="5"/>
        <v>0</v>
      </c>
      <c r="G112" s="2143">
        <f t="shared" si="5"/>
        <v>4013720.6999999997</v>
      </c>
      <c r="H112" s="2143">
        <f t="shared" si="5"/>
        <v>4258648.5999999996</v>
      </c>
      <c r="I112" s="2143">
        <f t="shared" si="5"/>
        <v>4013720.6999999997</v>
      </c>
      <c r="J112" s="2094"/>
    </row>
    <row r="113" spans="1:12" ht="16.8" x14ac:dyDescent="0.3">
      <c r="A113" s="2144"/>
      <c r="B113" s="2145"/>
      <c r="C113" s="2145"/>
      <c r="D113" s="2145"/>
      <c r="E113" s="2145"/>
      <c r="F113" s="2145"/>
      <c r="G113" s="2145"/>
      <c r="H113" s="2145"/>
      <c r="I113" s="2146"/>
      <c r="L113" s="2081"/>
    </row>
    <row r="114" spans="1:12" s="2149" customFormat="1" ht="21" hidden="1" customHeight="1" x14ac:dyDescent="0.35">
      <c r="A114" s="2147" t="s">
        <v>2177</v>
      </c>
      <c r="B114" s="2147"/>
      <c r="C114" s="2147"/>
      <c r="D114" s="2147"/>
      <c r="E114" s="2147"/>
      <c r="F114" s="2147"/>
      <c r="G114" s="2147"/>
      <c r="H114" s="2148"/>
      <c r="I114" s="2148"/>
    </row>
    <row r="115" spans="1:12" s="2153" customFormat="1" ht="15.6" x14ac:dyDescent="0.25">
      <c r="A115" s="2150"/>
      <c r="B115" s="2151"/>
      <c r="C115" s="2151"/>
      <c r="D115" s="2151"/>
      <c r="E115" s="2152">
        <f>E8-E112</f>
        <v>0</v>
      </c>
      <c r="F115" s="2151"/>
      <c r="G115" s="2151"/>
      <c r="H115" s="2151"/>
      <c r="I115" s="2152">
        <f>I8-I112</f>
        <v>0</v>
      </c>
    </row>
    <row r="116" spans="1:12" s="2155" customFormat="1" ht="17.399999999999999" x14ac:dyDescent="0.3">
      <c r="A116" s="2154" t="s">
        <v>681</v>
      </c>
      <c r="E116" s="2156"/>
      <c r="F116" s="2156"/>
      <c r="H116" s="2157" t="s">
        <v>682</v>
      </c>
      <c r="I116" s="2157"/>
    </row>
    <row r="121" spans="1:12" x14ac:dyDescent="0.25">
      <c r="D121" s="2081"/>
    </row>
  </sheetData>
  <mergeCells count="16">
    <mergeCell ref="I5:I6"/>
    <mergeCell ref="A7:I7"/>
    <mergeCell ref="A12:I12"/>
    <mergeCell ref="A113:H113"/>
    <mergeCell ref="A114:G114"/>
    <mergeCell ref="H116:I116"/>
    <mergeCell ref="H1:I1"/>
    <mergeCell ref="A3:I3"/>
    <mergeCell ref="A5:A6"/>
    <mergeCell ref="B5:B6"/>
    <mergeCell ref="C5:C6"/>
    <mergeCell ref="D5:D6"/>
    <mergeCell ref="E5:E6"/>
    <mergeCell ref="F5:F6"/>
    <mergeCell ref="G5:G6"/>
    <mergeCell ref="H5:H6"/>
  </mergeCells>
  <pageMargins left="0.70866141732283472" right="0" top="0" bottom="0" header="0.23622047244094491" footer="0.2362204724409449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23</vt:i4>
      </vt:variant>
    </vt:vector>
  </HeadingPairs>
  <TitlesOfParts>
    <vt:vector size="37" baseType="lpstr">
      <vt:lpstr>дод.1</vt:lpstr>
      <vt:lpstr>дод.2</vt:lpstr>
      <vt:lpstr>дод.3</vt:lpstr>
      <vt:lpstr>дод.4</vt:lpstr>
      <vt:lpstr>дод.5</vt:lpstr>
      <vt:lpstr>дод. 6</vt:lpstr>
      <vt:lpstr>дод.7</vt:lpstr>
      <vt:lpstr>дод.8</vt:lpstr>
      <vt:lpstr>дод.9</vt:lpstr>
      <vt:lpstr>дод.10</vt:lpstr>
      <vt:lpstr>дод. 11</vt:lpstr>
      <vt:lpstr>дод.1 до поясн</vt:lpstr>
      <vt:lpstr>дод. 2 до поясн.</vt:lpstr>
      <vt:lpstr>дод. 3 до поясн.</vt:lpstr>
      <vt:lpstr>'дод. 11'!Заголовки_для_печати</vt:lpstr>
      <vt:lpstr>'дод. 3 до поясн.'!Заголовки_для_печати</vt:lpstr>
      <vt:lpstr>'дод. 6'!Заголовки_для_печати</vt:lpstr>
      <vt:lpstr>дод.1!Заголовки_для_печати</vt:lpstr>
      <vt:lpstr>'дод.1 до поясн'!Заголовки_для_печати</vt:lpstr>
      <vt:lpstr>дод.10!Заголовки_для_печати</vt:lpstr>
      <vt:lpstr>дод.2!Заголовки_для_печати</vt:lpstr>
      <vt:lpstr>дод.3!Заголовки_для_печати</vt:lpstr>
      <vt:lpstr>дод.4!Заголовки_для_печати</vt:lpstr>
      <vt:lpstr>дод.5!Заголовки_для_печати</vt:lpstr>
      <vt:lpstr>дод.7!Заголовки_для_печати</vt:lpstr>
      <vt:lpstr>'дод. 11'!Область_печати</vt:lpstr>
      <vt:lpstr>'дод. 2 до поясн.'!Область_печати</vt:lpstr>
      <vt:lpstr>'дод. 3 до поясн.'!Область_печати</vt:lpstr>
      <vt:lpstr>'дод. 6'!Область_печати</vt:lpstr>
      <vt:lpstr>дод.1!Область_печати</vt:lpstr>
      <vt:lpstr>'дод.1 до поясн'!Область_печати</vt:lpstr>
      <vt:lpstr>дод.10!Область_печати</vt:lpstr>
      <vt:lpstr>дод.2!Область_печати</vt:lpstr>
      <vt:lpstr>дод.3!Область_печати</vt:lpstr>
      <vt:lpstr>дод.4!Область_печати</vt:lpstr>
      <vt:lpstr>дод.5!Область_печати</vt:lpstr>
      <vt:lpstr>дод.7!Область_печати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Вікторія</dc:creator>
  <cp:lastModifiedBy>plan3</cp:lastModifiedBy>
  <cp:lastPrinted>2024-12-05T06:25:28Z</cp:lastPrinted>
  <dcterms:created xsi:type="dcterms:W3CDTF">2024-11-05T07:49:13Z</dcterms:created>
  <dcterms:modified xsi:type="dcterms:W3CDTF">2024-12-06T08:00:45Z</dcterms:modified>
</cp:coreProperties>
</file>